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9" activeTab="1"/>
  </bookViews>
  <sheets>
    <sheet name="2021年秋学期城乡义务教育阶段公用经费补助资金分配表" sheetId="1" r:id="rId1"/>
    <sheet name="2021年义务教育阶段学校寄宿生公用经费补助资金分配表" sheetId="2" r:id="rId2"/>
    <sheet name="00000000" sheetId="3" state="veryHidden" r:id="rId3"/>
    <sheet name="Recovered_Sheet1" sheetId="4" state="veryHidden" r:id="rId4"/>
    <sheet name="Recovered_Sheet2" sheetId="5" state="veryHidden" r:id="rId5"/>
    <sheet name="Recovered_Sheet3" sheetId="6" state="veryHidden" r:id="rId6"/>
  </sheets>
  <definedNames>
    <definedName name="_xlnm.Print_Titles" localSheetId="0">'2021年秋学期城乡义务教育阶段公用经费补助资金分配表'!$1:$5</definedName>
    <definedName name="_xlnm.Print_Area" localSheetId="0">'2021年秋学期城乡义务教育阶段公用经费补助资金分配表'!$A$1:$T$244</definedName>
    <definedName name="_xlnm.Print_Titles" localSheetId="1">'2021年义务教育阶段学校寄宿生公用经费补助资金分配表'!$1:$5</definedName>
  </definedNames>
  <calcPr fullCalcOnLoad="1"/>
</workbook>
</file>

<file path=xl/sharedStrings.xml><?xml version="1.0" encoding="utf-8"?>
<sst xmlns="http://schemas.openxmlformats.org/spreadsheetml/2006/main" count="317" uniqueCount="294">
  <si>
    <t>2021年城乡义务教育阶段公用经费补助资金分配表（秋季学期）</t>
  </si>
  <si>
    <t>编制单位：柳城县教育局</t>
  </si>
  <si>
    <t>单位：元</t>
  </si>
  <si>
    <t>学校名称</t>
  </si>
  <si>
    <t>实际学生数</t>
  </si>
  <si>
    <t>补助学生数</t>
  </si>
  <si>
    <t>其中：普通学生</t>
  </si>
  <si>
    <t>其中：特教生及随班就读学生</t>
  </si>
  <si>
    <t>其中：送教上门学生</t>
  </si>
  <si>
    <t>补助标准(元.生/年)</t>
  </si>
  <si>
    <t>全年应下达资金</t>
  </si>
  <si>
    <t>已下达资金</t>
  </si>
  <si>
    <t>本次下达资金</t>
  </si>
  <si>
    <t>合计</t>
  </si>
  <si>
    <t>中央</t>
  </si>
  <si>
    <t>自治区</t>
  </si>
  <si>
    <t>县级</t>
  </si>
  <si>
    <t>总计</t>
  </si>
  <si>
    <t>小学教育合计</t>
  </si>
  <si>
    <t>柳城县实验小学</t>
  </si>
  <si>
    <t>柳城县实验小学随班就读</t>
  </si>
  <si>
    <t>广西柳城县伏虎华侨农场学校</t>
  </si>
  <si>
    <t>广西柳城县伏虎华侨农场学校随班就读</t>
  </si>
  <si>
    <t>柳城县文昌小学</t>
  </si>
  <si>
    <t>柳城县文昌小学随班就读</t>
  </si>
  <si>
    <t>广西柳城县东泉华侨农场学校</t>
  </si>
  <si>
    <t>广西柳城县东泉华侨农场学校送教上门</t>
  </si>
  <si>
    <t>大埔二小小计</t>
  </si>
  <si>
    <t>柳城县大埔镇里明小学</t>
  </si>
  <si>
    <t>柳城县大埔镇里明小学随班就读</t>
  </si>
  <si>
    <t>柳城县大埔镇正殿小学</t>
  </si>
  <si>
    <t>柳城县大埔镇正殿小学随班就读</t>
  </si>
  <si>
    <t>柳城县大埔镇保大小学</t>
  </si>
  <si>
    <t>柳城县大埔镇中回小学</t>
  </si>
  <si>
    <t>柳城县大埔镇中回小学随班就读</t>
  </si>
  <si>
    <t>柳城县大埔镇洛古小学</t>
  </si>
  <si>
    <t>柳城县大埔镇南村小学</t>
  </si>
  <si>
    <t>柳城县大埔镇龙台小学</t>
  </si>
  <si>
    <t>柳城县大埔镇六休小学</t>
  </si>
  <si>
    <t>柳城县大埔镇六休小学随班就读</t>
  </si>
  <si>
    <t>柳城县大埔镇木桐小学</t>
  </si>
  <si>
    <t>柳城县大埔镇龙庆小学</t>
  </si>
  <si>
    <t>柳城县大埔镇老都六小学</t>
  </si>
  <si>
    <t>洛崖小学小计</t>
  </si>
  <si>
    <t>柳城县大埔镇洛崖小学</t>
  </si>
  <si>
    <t>柳城县大埔镇洛崖小学送教上门</t>
  </si>
  <si>
    <t>柳城县大埔镇洛崖小学随班就读</t>
  </si>
  <si>
    <t>柳城县大埔镇乐寨小学</t>
  </si>
  <si>
    <t>柳城县大埔镇吉兆小学</t>
  </si>
  <si>
    <t>柳城县大埔镇勤俭小学</t>
  </si>
  <si>
    <t>柳城县大埔镇同境小学</t>
  </si>
  <si>
    <t>柳城县大埔镇同境小学随班就读</t>
  </si>
  <si>
    <t>柳城县大埔镇上里小学</t>
  </si>
  <si>
    <t>柳城县大埔镇上里小学随班就读</t>
  </si>
  <si>
    <t>柳城县大埔镇中寨小学</t>
  </si>
  <si>
    <t>柳城县大埔镇三塘小学</t>
  </si>
  <si>
    <t>龙头小学小计</t>
  </si>
  <si>
    <t>柳城县龙头中心小学</t>
  </si>
  <si>
    <t>柳城县龙头中心小学随班就读</t>
  </si>
  <si>
    <t>柳城县龙头中心小学送教上门</t>
  </si>
  <si>
    <t>柳城县龙头镇瓦窑小学</t>
  </si>
  <si>
    <t>柳城县龙头镇隆水小学</t>
  </si>
  <si>
    <t>柳城县龙头镇伏虎小学</t>
  </si>
  <si>
    <t>柳城县龙头镇顺天小学</t>
  </si>
  <si>
    <t>柳城县龙头镇佳用小学</t>
  </si>
  <si>
    <t>柳城县龙头镇旗山小学</t>
  </si>
  <si>
    <t>柳城县龙头镇新村小学</t>
  </si>
  <si>
    <t>太平小学小计</t>
  </si>
  <si>
    <t>柳城县太平中心小学</t>
  </si>
  <si>
    <t>柳城县太平中心小学送教上门</t>
  </si>
  <si>
    <t>柳城县太平中心小学随班就读</t>
  </si>
  <si>
    <t>柳城县太平镇黄宜小学</t>
  </si>
  <si>
    <t>柳城县太平镇杨梅小学</t>
  </si>
  <si>
    <t>柳城县太平镇杨梅小学随班就读</t>
  </si>
  <si>
    <t>柳城县太平镇上火小学</t>
  </si>
  <si>
    <t>柳城县太平镇近潭小学</t>
  </si>
  <si>
    <t>柳城县太平镇近潭小学随班就读</t>
  </si>
  <si>
    <t>柳城县太平镇木界小学</t>
  </si>
  <si>
    <t>柳城县太平镇长岭希望小学</t>
  </si>
  <si>
    <t>柳城县太平镇长岭希望小学随班就读</t>
  </si>
  <si>
    <t>柳城县太平镇江头小学</t>
  </si>
  <si>
    <t>柳城县太平镇江头小学随班就读</t>
  </si>
  <si>
    <t>柳城县太平镇龙兴明天小学</t>
  </si>
  <si>
    <t>柳城县太平镇龙兴明天小学随班就读</t>
  </si>
  <si>
    <t>柳城县太平镇板料小学</t>
  </si>
  <si>
    <t>柳城县太平镇山咀小学</t>
  </si>
  <si>
    <t>柳城县太平镇山咀小学随班就读</t>
  </si>
  <si>
    <t>沙埔小学小计</t>
  </si>
  <si>
    <t>柳城县沙埔中心小学</t>
  </si>
  <si>
    <t>柳城县沙埔中心小学随班就读</t>
  </si>
  <si>
    <t>柳城县沙埔中心小学送教上门</t>
  </si>
  <si>
    <t>柳城县沙埔镇长隆小学</t>
  </si>
  <si>
    <t>柳城县沙埔镇上雷小学</t>
  </si>
  <si>
    <t>柳城县沙埔镇上雷小学随班就读</t>
  </si>
  <si>
    <t>柳城县沙埔镇古仁小学</t>
  </si>
  <si>
    <t>柳城县沙埔镇古仁小学随班就读</t>
  </si>
  <si>
    <t>柳城县沙埔镇古仁小学送教上门</t>
  </si>
  <si>
    <t>柳城县沙埔镇六广小学</t>
  </si>
  <si>
    <t>柳城县沙埔镇大安小学</t>
  </si>
  <si>
    <t>柳城县沙埔镇大安小学随班就读</t>
  </si>
  <si>
    <t>柳城县沙埔镇碑田小学</t>
  </si>
  <si>
    <t>柳城县沙埔镇碑田小学随班就读</t>
  </si>
  <si>
    <t>柳城县沙埔镇潭竹小学</t>
  </si>
  <si>
    <t>柳城县沙埔镇潭竹小学随班就读</t>
  </si>
  <si>
    <t>柳城县沙埔镇六广上樟小学</t>
  </si>
  <si>
    <t>柳城县沙埔镇六广上樟小学随班就读</t>
  </si>
  <si>
    <t>柳城县沙埔镇大安山顶小学</t>
  </si>
  <si>
    <t>柳城县沙埔镇大安石桥小学</t>
  </si>
  <si>
    <t>柳城县沙埔镇长隆古青小学</t>
  </si>
  <si>
    <t>柳城县沙埔镇古仁减龙小学</t>
  </si>
  <si>
    <t>西安小学小计</t>
  </si>
  <si>
    <t>柳城县东泉镇西安希望小学</t>
  </si>
  <si>
    <t>柳城县东泉镇西安希望小学随班就读</t>
  </si>
  <si>
    <t>柳城县东泉镇西安希望小学送教上门</t>
  </si>
  <si>
    <t>柳城县东泉镇凉亭小学</t>
  </si>
  <si>
    <t>柳城县东泉镇凉亭小学随班就读</t>
  </si>
  <si>
    <t>柳城县东泉镇黄塘小学</t>
  </si>
  <si>
    <t>柳城县东泉镇走马小学</t>
  </si>
  <si>
    <t>柳城县东泉镇中段小学</t>
  </si>
  <si>
    <t>凤山小学小计</t>
  </si>
  <si>
    <t>柳城县凤山中心小学</t>
  </si>
  <si>
    <t>柳城县凤山中心小学随班就读</t>
  </si>
  <si>
    <t>柳城县凤山镇对河小学</t>
  </si>
  <si>
    <t>柳城县凤山镇旧县小学</t>
  </si>
  <si>
    <t>柳城县凤山镇头塘小学</t>
  </si>
  <si>
    <t>柳城县凤山镇大湾小学</t>
  </si>
  <si>
    <t>柳城县凤山镇二塘小学</t>
  </si>
  <si>
    <t>柳城县凤山镇思练小学</t>
  </si>
  <si>
    <t>柳城县凤山镇思练小学送教上门</t>
  </si>
  <si>
    <t>东泉小学小计</t>
  </si>
  <si>
    <t>柳城县东泉中心小学</t>
  </si>
  <si>
    <t>柳城县东泉中心小学随班就读</t>
  </si>
  <si>
    <t>柳城县东泉中心小学送教上门</t>
  </si>
  <si>
    <t>柳城县东泉镇青山小学</t>
  </si>
  <si>
    <t>柳城县东泉镇青山小学随班就读</t>
  </si>
  <si>
    <t>柳城县东泉镇永安小学</t>
  </si>
  <si>
    <t>柳城县东泉镇永安小学随班就读</t>
  </si>
  <si>
    <t>柳城县东泉镇大樟小学</t>
  </si>
  <si>
    <t>柳城县东泉镇洲村小学</t>
  </si>
  <si>
    <t>柳城县东泉镇前屯小学</t>
  </si>
  <si>
    <t>柳城县东泉镇前屯小学随班就读</t>
  </si>
  <si>
    <t>柳城县东泉镇尖石小学</t>
  </si>
  <si>
    <t>柳城县东泉镇对河小学</t>
  </si>
  <si>
    <t>柳城县东泉镇思江小学</t>
  </si>
  <si>
    <t>柳城县东泉镇新龙小学</t>
  </si>
  <si>
    <t>柳城县东泉镇马安小学</t>
  </si>
  <si>
    <t>柳城县东泉镇碑塘小学</t>
  </si>
  <si>
    <t>柳城县东泉镇碑塘小学随班就读</t>
  </si>
  <si>
    <t>柳城县东泉镇高田小学</t>
  </si>
  <si>
    <t>柳城县东泉镇莫道小学</t>
  </si>
  <si>
    <t>柳城县东泉镇莫道小学随班就读</t>
  </si>
  <si>
    <t>柳城县东泉镇古六小学</t>
  </si>
  <si>
    <t>柳城县东泉镇雷塘小学</t>
  </si>
  <si>
    <t>社冲小学小计</t>
  </si>
  <si>
    <t>柳城县社冲中心小学</t>
  </si>
  <si>
    <t>柳城县社冲中心小学送教上门</t>
  </si>
  <si>
    <t>柳城县社冲中心小学随班就读</t>
  </si>
  <si>
    <t>柳城县社冲仓贝小学</t>
  </si>
  <si>
    <t>柳城县社冲仓贝小学随班就读</t>
  </si>
  <si>
    <t>柳城县社冲长漕小学</t>
  </si>
  <si>
    <t>柳城县社冲无忧小学</t>
  </si>
  <si>
    <t>柳城县社冲洛文小学</t>
  </si>
  <si>
    <t>柳城县社冲大湖小学</t>
  </si>
  <si>
    <t>马山小学小计</t>
  </si>
  <si>
    <t>柳城县马山中心小学</t>
  </si>
  <si>
    <t>柳城县马山中心小学随班就读</t>
  </si>
  <si>
    <t>柳城县马山乡大龙小学</t>
  </si>
  <si>
    <t>柳城县马山乡北浩小学</t>
  </si>
  <si>
    <t>柳城县马山乡北浩小学随班就读</t>
  </si>
  <si>
    <t>柳城县马山乡八甲小学</t>
  </si>
  <si>
    <t>柳城县马山乡横山小学</t>
  </si>
  <si>
    <t>柳城县马山乡横水小学</t>
  </si>
  <si>
    <t>六塘小学小计</t>
  </si>
  <si>
    <t>柳城县六塘中心小学</t>
  </si>
  <si>
    <t>柳城县六塘中心小学随班就读</t>
  </si>
  <si>
    <t>柳城县六塘镇黄冲小学</t>
  </si>
  <si>
    <t>柳城县六塘镇三界小学</t>
  </si>
  <si>
    <t>柳城县六塘镇肯社小学</t>
  </si>
  <si>
    <t>柳城县六塘镇拉燕小学</t>
  </si>
  <si>
    <t>柳城县六塘镇中团小学</t>
  </si>
  <si>
    <t>柳城县六塘镇油兰小学</t>
  </si>
  <si>
    <t>冲脉小学小计</t>
  </si>
  <si>
    <t>柳城县冲脉中心小学</t>
  </si>
  <si>
    <t>柳城县冲脉中心小学随班就读</t>
  </si>
  <si>
    <t>柳城县冲脉中心小学送教上门</t>
  </si>
  <si>
    <t>柳城县冲脉镇米村小学</t>
  </si>
  <si>
    <t>柳城县冲脉镇大要小学</t>
  </si>
  <si>
    <t>柳城县冲脉镇大要小学随班就读</t>
  </si>
  <si>
    <t>柳城县冲脉镇冲恩光彩小学</t>
  </si>
  <si>
    <t>柳城县冲脉镇五菱希望小学</t>
  </si>
  <si>
    <t>寨隆小学小计</t>
  </si>
  <si>
    <t>柳城县寨隆镇中心小学</t>
  </si>
  <si>
    <t>柳城县寨隆镇中心小学随班就读</t>
  </si>
  <si>
    <t>柳城县寨隆镇中心小学送教上门</t>
  </si>
  <si>
    <t>柳城县寨隆镇毛村小学</t>
  </si>
  <si>
    <t>柳城县寨隆镇下尧小学</t>
  </si>
  <si>
    <t>柳城县寨隆镇侨心小学</t>
  </si>
  <si>
    <t>柳城县寨隆镇侨心小学随班就读</t>
  </si>
  <si>
    <t>柳城县寨隆镇独石小学</t>
  </si>
  <si>
    <t>龙美小学小计</t>
  </si>
  <si>
    <t>柳城县古砦仫佬族乡龙美希望小学</t>
  </si>
  <si>
    <t>柳城县古砦仫佬族乡龙美希望小学随班就读</t>
  </si>
  <si>
    <t>柳城县古砦仫佬族乡龙美希望小学送教上门</t>
  </si>
  <si>
    <t>柳城县古砦仫佬族乡公安希望小学</t>
  </si>
  <si>
    <t>柳城县古砦仫佬族乡古砦小学</t>
  </si>
  <si>
    <t>柳城县古砦仫佬族乡泗巷小学</t>
  </si>
  <si>
    <t>柳城县古砦仫佬族乡鱼峰水泥希望小学</t>
  </si>
  <si>
    <t>柳城县古砦仫佬族乡云峰小学</t>
  </si>
  <si>
    <t>柳城县古砦仫佬族乡上富小学</t>
  </si>
  <si>
    <t>柳城县古砦仫佬族乡大户小学</t>
  </si>
  <si>
    <t>柳城县古砦仫佬族乡岭头小学</t>
  </si>
  <si>
    <t>柳城县古砦仫佬族乡龙袍小学</t>
  </si>
  <si>
    <t>柳城县古砦仫佬族乡爱民希望小学</t>
  </si>
  <si>
    <t>初中教育合计</t>
  </si>
  <si>
    <t>柳城县大埔中学</t>
  </si>
  <si>
    <t>柳城县大埔中学随班就读</t>
  </si>
  <si>
    <t xml:space="preserve">柳城县大埔中学送教上门 </t>
  </si>
  <si>
    <t>柳城县大埔镇洛崖初级中学</t>
  </si>
  <si>
    <t>柳城县大埔镇洛崖初级中学随班就读</t>
  </si>
  <si>
    <t>广西柳城县太平中学</t>
  </si>
  <si>
    <t>广西柳城县太平中学随班就读</t>
  </si>
  <si>
    <t xml:space="preserve">广西柳城县太平中学送教上门 </t>
  </si>
  <si>
    <t>广西壮族自治区柳城县沙埔中学</t>
  </si>
  <si>
    <t>广西壮族自治区柳城县沙埔中学随班就读</t>
  </si>
  <si>
    <t xml:space="preserve">广西壮族自治区柳城县沙埔中学送教上门 </t>
  </si>
  <si>
    <t>广西壮族自治区柳城县东泉中学</t>
  </si>
  <si>
    <t>广西壮族自治区柳城县东泉中学随班就读</t>
  </si>
  <si>
    <t xml:space="preserve">广西壮族自治区柳城县东泉中学送教上门 </t>
  </si>
  <si>
    <t>柳城县东泉第二中学</t>
  </si>
  <si>
    <t>柳城县东泉第二中学随班就读</t>
  </si>
  <si>
    <t>柳城县东泉第二中学送教上门</t>
  </si>
  <si>
    <t>广西壮族自治区柳城县凤山中学</t>
  </si>
  <si>
    <t>广西壮族自治区柳城县凤山中学随班就读</t>
  </si>
  <si>
    <t>广西壮族自治区柳城县凤山中学送教上门</t>
  </si>
  <si>
    <t>广西壮族自治区柳城县马山中学</t>
  </si>
  <si>
    <t>广西壮族自治区柳城县马山中学随班就读</t>
  </si>
  <si>
    <t>广西壮族自治区柳城县马山中学送教上门</t>
  </si>
  <si>
    <t>广西壮族自治区柳城县六塘中学</t>
  </si>
  <si>
    <t>广西壮族自治区柳城县六塘中学随班就读</t>
  </si>
  <si>
    <t>广西壮族自治区柳城县六塘中学送教上门</t>
  </si>
  <si>
    <t>柳城县冲脉镇冲脉初级中学</t>
  </si>
  <si>
    <t>柳城县冲脉镇冲脉初级中学随班就读</t>
  </si>
  <si>
    <t>柳城县冲脉镇冲脉初级中学送教上门</t>
  </si>
  <si>
    <t>柳城县寨隆镇中学</t>
  </si>
  <si>
    <t>柳城县寨隆镇中学随班就读</t>
  </si>
  <si>
    <t>柳城县寨隆镇中学送教上门</t>
  </si>
  <si>
    <t>柳城县古砦仫佬族乡古砦中学</t>
  </si>
  <si>
    <t>柳城县古砦仫佬族乡古砦中学随班就读</t>
  </si>
  <si>
    <t>柳城县古砦仫佬族乡古砦中学送教上门</t>
  </si>
  <si>
    <t>柳城县民族中学</t>
  </si>
  <si>
    <t>柳城县民族中学随班就读</t>
  </si>
  <si>
    <t>柳城县实验中学</t>
  </si>
  <si>
    <t>柳城县实验中学随班就读</t>
  </si>
  <si>
    <t>柳城县中学初中部</t>
  </si>
  <si>
    <t>特殊学校教育合计</t>
  </si>
  <si>
    <t>特殊教育学校</t>
  </si>
  <si>
    <t>2021年秋季学期寄宿生公用经费补助资金分配表</t>
  </si>
  <si>
    <t>寄宿生人数</t>
  </si>
  <si>
    <t>补助标准</t>
  </si>
  <si>
    <t>全县合计</t>
  </si>
  <si>
    <t>一</t>
  </si>
  <si>
    <t>小学合计</t>
  </si>
  <si>
    <t>龙头中心小学</t>
  </si>
  <si>
    <t>太平中心小学</t>
  </si>
  <si>
    <t>沙埔中心小学</t>
  </si>
  <si>
    <t>东泉中心小学</t>
  </si>
  <si>
    <t>西安中心小学</t>
  </si>
  <si>
    <t>马山中心小学</t>
  </si>
  <si>
    <t>社冲中心小学</t>
  </si>
  <si>
    <t>寨隆中心小学</t>
  </si>
  <si>
    <t>冲脉中心小学</t>
  </si>
  <si>
    <t>六塘中心小学</t>
  </si>
  <si>
    <t>龙美希望小学</t>
  </si>
  <si>
    <t>洛崖中心小学</t>
  </si>
  <si>
    <t>二</t>
  </si>
  <si>
    <t>初中合计</t>
  </si>
  <si>
    <t>实验中学</t>
  </si>
  <si>
    <t>民族中学</t>
  </si>
  <si>
    <t>大埔中学</t>
  </si>
  <si>
    <t>太平中学</t>
  </si>
  <si>
    <t>沙埔中学</t>
  </si>
  <si>
    <t>东泉中学</t>
  </si>
  <si>
    <t>东泉二中</t>
  </si>
  <si>
    <t>凤山中学</t>
  </si>
  <si>
    <t>马山中学</t>
  </si>
  <si>
    <t>六塘中学</t>
  </si>
  <si>
    <t>冲脉中学</t>
  </si>
  <si>
    <t>寨隆中学</t>
  </si>
  <si>
    <t>古砦中学</t>
  </si>
  <si>
    <t>洛崖中学</t>
  </si>
  <si>
    <t>柳城县中学</t>
  </si>
  <si>
    <t>三</t>
  </si>
  <si>
    <t>小学教育</t>
  </si>
  <si>
    <t>特教学校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</si>
</sst>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_-* #,##0.00\ _k_r_-;\-* #,##0.00\ _k_r_-;_-* &quot;-&quot;??\ _k_r_-;_-@_-"/>
    <numFmt numFmtId="179" formatCode="_-* #,##0\ _k_r_-;\-* #,##0\ _k_r_-;_-* &quot;-&quot;\ _k_r_-;_-@_-"/>
    <numFmt numFmtId="180" formatCode="_-&quot;$&quot;\ * #,##0_-;_-&quot;$&quot;\ * #,##0\-;_-&quot;$&quot;\ * &quot;-&quot;_-;_-@_-"/>
    <numFmt numFmtId="181" formatCode="0.00_)"/>
    <numFmt numFmtId="182" formatCode="_-&quot;$&quot;\ * #,##0.00_-;_-&quot;$&quot;\ * #,##0.00\-;_-&quot;$&quot;\ * &quot;-&quot;??_-;_-@_-"/>
    <numFmt numFmtId="183" formatCode="_-* #,##0.00_-;\-* #,##0.00_-;_-* &quot;-&quot;??_-;_-@_-"/>
    <numFmt numFmtId="184" formatCode="&quot;$&quot;\ #,##0.00_-;[Red]&quot;$&quot;\ #,##0.00\-"/>
    <numFmt numFmtId="185" formatCode="_(&quot;$&quot;* #,##0.00_);_(&quot;$&quot;* \(#,##0.00\);_(&quot;$&quot;* &quot;-&quot;??_);_(@_)"/>
    <numFmt numFmtId="186" formatCode="&quot;$&quot;#,##0_);\(&quot;$&quot;#,##0\)"/>
    <numFmt numFmtId="187" formatCode="#,##0;\-#,##0;&quot;-&quot;"/>
    <numFmt numFmtId="188" formatCode="#,##0;\(#,##0\)"/>
    <numFmt numFmtId="189" formatCode="#,##0;[Red]\(#,##0\)"/>
    <numFmt numFmtId="190" formatCode="_-* #,##0_$_-;\-* #,##0_$_-;_-* &quot;-&quot;_$_-;_-@_-"/>
    <numFmt numFmtId="191" formatCode="\$#,##0.00;\(\$#,##0.00\)"/>
    <numFmt numFmtId="192" formatCode="\$#,##0;\(\$#,##0\)"/>
    <numFmt numFmtId="193" formatCode="_-* #,##0&quot;$&quot;_-;\-* #,##0&quot;$&quot;_-;_-* &quot;-&quot;&quot;$&quot;_-;_-@_-"/>
    <numFmt numFmtId="194" formatCode="#,##0.0_);\(#,##0.0\)"/>
    <numFmt numFmtId="195" formatCode="#\ ??/??"/>
    <numFmt numFmtId="196" formatCode="&quot;?\t#,##0_);[Red]\(&quot;&quot;?&quot;\t#,##0\)"/>
    <numFmt numFmtId="197" formatCode="&quot;$&quot;#,##0_);[Red]\(&quot;$&quot;#,##0\)"/>
    <numFmt numFmtId="198" formatCode="&quot;$&quot;#,##0.00_);[Red]\(&quot;$&quot;#,##0.00\)"/>
    <numFmt numFmtId="199" formatCode="&quot;綅&quot;\t#,##0_);[Red]\(&quot;綅&quot;\t#,##0\)"/>
    <numFmt numFmtId="200" formatCode="_-* #,##0.00_$_-;\-* #,##0.00_$_-;_-* &quot;-&quot;??_$_-;_-@_-"/>
    <numFmt numFmtId="201" formatCode="_-* #,##0.00&quot;$&quot;_-;\-* #,##0.00&quot;$&quot;_-;_-* &quot;-&quot;??&quot;$&quot;_-;_-@_-"/>
    <numFmt numFmtId="202" formatCode="_(&quot;$&quot;* #,##0_);_(&quot;$&quot;* \(#,##0\);_(&quot;$&quot;* &quot;-&quot;_);_(@_)"/>
    <numFmt numFmtId="203" formatCode="_-&quot;$&quot;* #,##0.00_-;\-&quot;$&quot;* #,##0.00_-;_-&quot;$&quot;* &quot;-&quot;??_-;_-@_-"/>
    <numFmt numFmtId="204" formatCode="0.0"/>
    <numFmt numFmtId="205" formatCode="0.00_ "/>
  </numFmts>
  <fonts count="111">
    <font>
      <sz val="11"/>
      <color indexed="8"/>
      <name val="Tahoma"/>
      <family val="2"/>
    </font>
    <font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Tahoma"/>
      <family val="2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62"/>
      <name val="Tahoma"/>
      <family val="2"/>
    </font>
    <font>
      <sz val="12"/>
      <color indexed="20"/>
      <name val="楷体_GB2312"/>
      <family val="0"/>
    </font>
    <font>
      <sz val="12"/>
      <name val="Times New Roman"/>
      <family val="1"/>
    </font>
    <font>
      <sz val="10.5"/>
      <color indexed="20"/>
      <name val="宋体"/>
      <family val="0"/>
    </font>
    <font>
      <sz val="12"/>
      <color indexed="17"/>
      <name val="楷体_GB2312"/>
      <family val="0"/>
    </font>
    <font>
      <sz val="12"/>
      <color indexed="9"/>
      <name val="宋体"/>
      <family val="0"/>
    </font>
    <font>
      <sz val="11"/>
      <color indexed="8"/>
      <name val="Calibri"/>
      <family val="2"/>
    </font>
    <font>
      <sz val="11"/>
      <color indexed="20"/>
      <name val="宋体"/>
      <family val="0"/>
    </font>
    <font>
      <sz val="11"/>
      <color indexed="9"/>
      <name val="Calibri"/>
      <family val="2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sz val="11"/>
      <color indexed="10"/>
      <name val="Calibri"/>
      <family val="2"/>
    </font>
    <font>
      <sz val="12"/>
      <color indexed="17"/>
      <name val="宋体"/>
      <family val="0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sz val="10"/>
      <color indexed="17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52"/>
      <name val="楷体_GB2312"/>
      <family val="0"/>
    </font>
    <font>
      <b/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sz val="12"/>
      <color indexed="8"/>
      <name val="楷体_GB2312"/>
      <family val="0"/>
    </font>
    <font>
      <sz val="11"/>
      <color indexed="10"/>
      <name val="Tahoma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12"/>
      <color indexed="60"/>
      <name val="楷体_GB2312"/>
      <family val="0"/>
    </font>
    <font>
      <sz val="10"/>
      <color indexed="8"/>
      <name val="Arial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sz val="12"/>
      <color indexed="20"/>
      <name val="宋体"/>
      <family val="0"/>
    </font>
    <font>
      <b/>
      <sz val="11"/>
      <color indexed="56"/>
      <name val="Calibri"/>
      <family val="2"/>
    </font>
    <font>
      <sz val="12"/>
      <color indexed="9"/>
      <name val="楷体_GB2312"/>
      <family val="0"/>
    </font>
    <font>
      <sz val="11"/>
      <color indexed="60"/>
      <name val="Tahoma"/>
      <family val="2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sz val="12"/>
      <color indexed="52"/>
      <name val="楷体_GB2312"/>
      <family val="0"/>
    </font>
    <font>
      <sz val="12"/>
      <name val="Courier"/>
      <family val="2"/>
    </font>
    <font>
      <sz val="10"/>
      <name val="Geneva"/>
      <family val="2"/>
    </font>
    <font>
      <sz val="10"/>
      <color indexed="20"/>
      <name val="宋体"/>
      <family val="0"/>
    </font>
    <font>
      <sz val="10"/>
      <name val="楷体"/>
      <family val="3"/>
    </font>
    <font>
      <u val="single"/>
      <sz val="7.5"/>
      <color indexed="36"/>
      <name val="Arial"/>
      <family val="2"/>
    </font>
    <font>
      <sz val="10.5"/>
      <color indexed="17"/>
      <name val="宋体"/>
      <family val="0"/>
    </font>
    <font>
      <sz val="11"/>
      <color indexed="52"/>
      <name val="Calibri"/>
      <family val="2"/>
    </font>
    <font>
      <b/>
      <sz val="12"/>
      <color indexed="9"/>
      <name val="楷体_GB2312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楷体_GB2312"/>
      <family val="0"/>
    </font>
    <font>
      <sz val="11"/>
      <color indexed="60"/>
      <name val="Calibri"/>
      <family val="2"/>
    </font>
    <font>
      <sz val="12"/>
      <color indexed="16"/>
      <name val="宋体"/>
      <family val="0"/>
    </font>
    <font>
      <b/>
      <sz val="11"/>
      <color indexed="56"/>
      <name val="楷体_GB2312"/>
      <family val="0"/>
    </font>
    <font>
      <sz val="8"/>
      <name val="Arial"/>
      <family val="2"/>
    </font>
    <font>
      <b/>
      <sz val="13"/>
      <color indexed="56"/>
      <name val="楷体_GB2312"/>
      <family val="0"/>
    </font>
    <font>
      <b/>
      <sz val="10"/>
      <name val="Tms Rmn"/>
      <family val="2"/>
    </font>
    <font>
      <u val="single"/>
      <sz val="11"/>
      <color indexed="12"/>
      <name val="宋体"/>
      <family val="0"/>
    </font>
    <font>
      <b/>
      <i/>
      <sz val="16"/>
      <name val="Helv"/>
      <family val="2"/>
    </font>
    <font>
      <sz val="7"/>
      <name val="Helv"/>
      <family val="2"/>
    </font>
    <font>
      <sz val="12"/>
      <color indexed="62"/>
      <name val="楷体_GB2312"/>
      <family val="0"/>
    </font>
    <font>
      <sz val="12"/>
      <color indexed="10"/>
      <name val="楷体_GB2312"/>
      <family val="0"/>
    </font>
    <font>
      <b/>
      <sz val="12"/>
      <color indexed="8"/>
      <name val="宋体"/>
      <family val="0"/>
    </font>
    <font>
      <u val="single"/>
      <sz val="7.5"/>
      <color indexed="12"/>
      <name val="Arial"/>
      <family val="2"/>
    </font>
    <font>
      <b/>
      <sz val="10"/>
      <name val="MS Sans Serif"/>
      <family val="2"/>
    </font>
    <font>
      <sz val="12"/>
      <name val="新細明體"/>
      <family val="0"/>
    </font>
    <font>
      <sz val="11"/>
      <color indexed="62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2"/>
    </font>
    <font>
      <b/>
      <sz val="11"/>
      <color indexed="63"/>
      <name val="Calibri"/>
      <family val="2"/>
    </font>
    <font>
      <sz val="7"/>
      <color indexed="10"/>
      <name val="Helv"/>
      <family val="2"/>
    </font>
    <font>
      <b/>
      <sz val="18"/>
      <color indexed="56"/>
      <name val="Cambria"/>
      <family val="1"/>
    </font>
    <font>
      <sz val="12"/>
      <name val="바탕체"/>
      <family val="0"/>
    </font>
    <font>
      <sz val="10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楷体_GB2312"/>
      <family val="0"/>
    </font>
    <font>
      <i/>
      <sz val="12"/>
      <color indexed="23"/>
      <name val="楷体_GB2312"/>
      <family val="0"/>
    </font>
    <font>
      <sz val="12"/>
      <name val="官帕眉"/>
      <family val="0"/>
    </font>
    <font>
      <b/>
      <sz val="12"/>
      <color indexed="63"/>
      <name val="楷体_GB2312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5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1" applyNumberFormat="0" applyAlignment="0" applyProtection="0"/>
    <xf numFmtId="0" fontId="27" fillId="0" borderId="0">
      <alignment horizontal="center" wrapText="1"/>
      <protection locked="0"/>
    </xf>
    <xf numFmtId="0" fontId="31" fillId="6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0" fillId="7" borderId="0" applyNumberFormat="0" applyBorder="0" applyAlignment="0" applyProtection="0"/>
    <xf numFmtId="0" fontId="33" fillId="6" borderId="1" applyNumberFormat="0" applyAlignment="0" applyProtection="0"/>
    <xf numFmtId="0" fontId="29" fillId="3" borderId="0" applyNumberFormat="0" applyBorder="0" applyAlignment="0" applyProtection="0"/>
    <xf numFmtId="0" fontId="35" fillId="0" borderId="0" applyNumberFormat="0" applyFill="0" applyBorder="0" applyAlignment="0" applyProtection="0"/>
    <xf numFmtId="176" fontId="2" fillId="0" borderId="2" applyFill="0" applyProtection="0">
      <alignment horizontal="right"/>
    </xf>
    <xf numFmtId="0" fontId="19" fillId="3" borderId="0" applyNumberFormat="0" applyBorder="0" applyAlignment="0" applyProtection="0"/>
    <xf numFmtId="0" fontId="17" fillId="8" borderId="0" applyNumberFormat="0" applyBorder="0" applyAlignment="0" applyProtection="0"/>
    <xf numFmtId="0" fontId="28" fillId="7" borderId="0" applyNumberFormat="0" applyBorder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0" fillId="9" borderId="3" applyNumberFormat="0" applyFont="0" applyAlignment="0" applyProtection="0"/>
    <xf numFmtId="0" fontId="14" fillId="0" borderId="0">
      <alignment/>
      <protection/>
    </xf>
    <xf numFmtId="0" fontId="23" fillId="0" borderId="0">
      <alignment/>
      <protection/>
    </xf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9" fillId="0" borderId="4" applyNumberFormat="0" applyFill="0" applyAlignment="0" applyProtection="0"/>
    <xf numFmtId="9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14" fillId="0" borderId="0">
      <alignment/>
      <protection/>
    </xf>
    <xf numFmtId="0" fontId="17" fillId="11" borderId="0" applyNumberFormat="0" applyBorder="0" applyAlignment="0" applyProtection="0"/>
    <xf numFmtId="0" fontId="28" fillId="12" borderId="0" applyNumberFormat="0" applyBorder="0" applyAlignment="0" applyProtection="0"/>
    <xf numFmtId="0" fontId="40" fillId="0" borderId="6" applyNumberFormat="0" applyFill="0" applyAlignment="0" applyProtection="0"/>
    <xf numFmtId="0" fontId="28" fillId="13" borderId="0" applyNumberFormat="0" applyBorder="0" applyAlignment="0" applyProtection="0"/>
    <xf numFmtId="0" fontId="39" fillId="6" borderId="7" applyNumberFormat="0" applyAlignment="0" applyProtection="0"/>
    <xf numFmtId="0" fontId="43" fillId="5" borderId="1" applyNumberFormat="0" applyAlignment="0" applyProtection="0"/>
    <xf numFmtId="0" fontId="38" fillId="6" borderId="1" applyNumberFormat="0" applyAlignment="0" applyProtection="0"/>
    <xf numFmtId="0" fontId="51" fillId="8" borderId="8" applyNumberFormat="0" applyAlignment="0" applyProtection="0"/>
    <xf numFmtId="0" fontId="46" fillId="0" borderId="0">
      <alignment vertical="top"/>
      <protection/>
    </xf>
    <xf numFmtId="0" fontId="41" fillId="14" borderId="0" applyNumberFormat="0" applyBorder="0" applyAlignment="0" applyProtection="0"/>
    <xf numFmtId="0" fontId="21" fillId="4" borderId="0" applyNumberFormat="0" applyBorder="0" applyAlignment="0" applyProtection="0"/>
    <xf numFmtId="0" fontId="0" fillId="5" borderId="0" applyNumberFormat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8" fillId="15" borderId="0" applyNumberFormat="0" applyBorder="0" applyAlignment="0" applyProtection="0"/>
    <xf numFmtId="0" fontId="48" fillId="0" borderId="9" applyNumberFormat="0" applyFill="0" applyAlignment="0" applyProtection="0"/>
    <xf numFmtId="0" fontId="19" fillId="3" borderId="0" applyNumberFormat="0" applyBorder="0" applyAlignment="0" applyProtection="0"/>
    <xf numFmtId="0" fontId="34" fillId="0" borderId="10" applyNumberFormat="0" applyFill="0" applyAlignment="0" applyProtection="0"/>
    <xf numFmtId="0" fontId="15" fillId="14" borderId="0" applyNumberFormat="0" applyBorder="0" applyAlignment="0" applyProtection="0"/>
    <xf numFmtId="0" fontId="36" fillId="4" borderId="0" applyNumberFormat="0" applyBorder="0" applyAlignment="0" applyProtection="0"/>
    <xf numFmtId="0" fontId="53" fillId="0" borderId="6" applyNumberFormat="0" applyFill="0" applyAlignment="0" applyProtection="0"/>
    <xf numFmtId="0" fontId="55" fillId="16" borderId="0" applyNumberFormat="0" applyBorder="0" applyAlignment="0" applyProtection="0"/>
    <xf numFmtId="0" fontId="0" fillId="2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14" borderId="0" applyNumberFormat="0" applyBorder="0" applyAlignment="0" applyProtection="0"/>
    <xf numFmtId="0" fontId="3" fillId="0" borderId="0">
      <alignment/>
      <protection/>
    </xf>
    <xf numFmtId="0" fontId="0" fillId="14" borderId="0" applyNumberFormat="0" applyBorder="0" applyAlignment="0" applyProtection="0"/>
    <xf numFmtId="0" fontId="28" fillId="21" borderId="0" applyNumberFormat="0" applyBorder="0" applyAlignment="0" applyProtection="0"/>
    <xf numFmtId="0" fontId="0" fillId="19" borderId="0" applyNumberFormat="0" applyBorder="0" applyAlignment="0" applyProtection="0"/>
    <xf numFmtId="0" fontId="28" fillId="21" borderId="0" applyNumberFormat="0" applyBorder="0" applyAlignment="0" applyProtection="0"/>
    <xf numFmtId="0" fontId="15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0" applyNumberFormat="0" applyBorder="0" applyAlignment="0" applyProtection="0"/>
    <xf numFmtId="0" fontId="23" fillId="0" borderId="0">
      <alignment/>
      <protection/>
    </xf>
    <xf numFmtId="0" fontId="3" fillId="0" borderId="0">
      <alignment/>
      <protection/>
    </xf>
    <xf numFmtId="0" fontId="45" fillId="16" borderId="0" applyNumberFormat="0" applyBorder="0" applyAlignment="0" applyProtection="0"/>
    <xf numFmtId="0" fontId="21" fillId="4" borderId="0" applyNumberFormat="0" applyBorder="0" applyAlignment="0" applyProtection="0"/>
    <xf numFmtId="0" fontId="28" fillId="24" borderId="0" applyNumberFormat="0" applyBorder="0" applyAlignment="0" applyProtection="0"/>
    <xf numFmtId="0" fontId="46" fillId="0" borderId="0">
      <alignment vertical="top"/>
      <protection/>
    </xf>
    <xf numFmtId="0" fontId="23" fillId="0" borderId="0">
      <alignment/>
      <protection/>
    </xf>
    <xf numFmtId="0" fontId="25" fillId="4" borderId="0" applyNumberFormat="0" applyBorder="0" applyAlignment="0" applyProtection="0"/>
    <xf numFmtId="0" fontId="14" fillId="0" borderId="0">
      <alignment/>
      <protection/>
    </xf>
    <xf numFmtId="0" fontId="16" fillId="4" borderId="0" applyNumberFormat="0" applyBorder="0" applyAlignment="0" applyProtection="0"/>
    <xf numFmtId="0" fontId="14" fillId="0" borderId="0">
      <alignment/>
      <protection/>
    </xf>
    <xf numFmtId="0" fontId="0" fillId="0" borderId="0" applyNumberFormat="0" applyFont="0" applyFill="0" applyBorder="0" applyAlignment="0">
      <protection/>
    </xf>
    <xf numFmtId="0" fontId="18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31" fillId="9" borderId="0" applyNumberFormat="0" applyBorder="0" applyAlignment="0" applyProtection="0"/>
    <xf numFmtId="0" fontId="23" fillId="0" borderId="0">
      <alignment/>
      <protection/>
    </xf>
    <xf numFmtId="0" fontId="25" fillId="4" borderId="0" applyNumberFormat="0" applyBorder="0" applyAlignment="0" applyProtection="0"/>
    <xf numFmtId="0" fontId="65" fillId="0" borderId="9" applyNumberFormat="0" applyFill="0" applyAlignment="0" applyProtection="0"/>
    <xf numFmtId="9" fontId="0" fillId="0" borderId="0" applyFont="0" applyFill="0" applyBorder="0" applyAlignment="0" applyProtection="0"/>
    <xf numFmtId="0" fontId="66" fillId="8" borderId="8" applyNumberFormat="0" applyAlignment="0" applyProtection="0"/>
    <xf numFmtId="49" fontId="0" fillId="0" borderId="0" applyFont="0" applyFill="0" applyBorder="0" applyAlignment="0" applyProtection="0"/>
    <xf numFmtId="0" fontId="67" fillId="0" borderId="4" applyNumberFormat="0" applyFill="0" applyAlignment="0" applyProtection="0"/>
    <xf numFmtId="43" fontId="0" fillId="0" borderId="0" applyFont="0" applyFill="0" applyBorder="0" applyAlignment="0" applyProtection="0"/>
    <xf numFmtId="0" fontId="14" fillId="0" borderId="0">
      <alignment/>
      <protection/>
    </xf>
    <xf numFmtId="0" fontId="41" fillId="4" borderId="0" applyNumberFormat="0" applyBorder="0" applyAlignment="0" applyProtection="0"/>
    <xf numFmtId="0" fontId="68" fillId="0" borderId="5" applyNumberFormat="0" applyFill="0" applyAlignment="0" applyProtection="0"/>
    <xf numFmtId="0" fontId="14" fillId="0" borderId="0">
      <alignment/>
      <protection/>
    </xf>
    <xf numFmtId="0" fontId="64" fillId="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4" fillId="21" borderId="0" applyNumberFormat="0" applyBorder="0" applyAlignment="0" applyProtection="0"/>
    <xf numFmtId="0" fontId="60" fillId="0" borderId="0">
      <alignment/>
      <protection/>
    </xf>
    <xf numFmtId="0" fontId="31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0" borderId="0">
      <alignment/>
      <protection/>
    </xf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46" fillId="0" borderId="0">
      <alignment vertical="top"/>
      <protection/>
    </xf>
    <xf numFmtId="0" fontId="19" fillId="3" borderId="0" applyNumberFormat="0" applyBorder="0" applyAlignment="0" applyProtection="0"/>
    <xf numFmtId="0" fontId="46" fillId="0" borderId="0">
      <alignment vertical="top"/>
      <protection/>
    </xf>
    <xf numFmtId="0" fontId="31" fillId="9" borderId="0" applyNumberFormat="0" applyBorder="0" applyAlignment="0" applyProtection="0"/>
    <xf numFmtId="0" fontId="64" fillId="2" borderId="0" applyNumberFormat="0" applyBorder="0" applyAlignment="0" applyProtection="0"/>
    <xf numFmtId="0" fontId="46" fillId="0" borderId="0">
      <alignment vertical="top"/>
      <protection/>
    </xf>
    <xf numFmtId="0" fontId="21" fillId="2" borderId="0" applyNumberFormat="0" applyBorder="0" applyAlignment="0" applyProtection="0"/>
    <xf numFmtId="0" fontId="109" fillId="0" borderId="0">
      <alignment vertical="center"/>
      <protection/>
    </xf>
    <xf numFmtId="0" fontId="26" fillId="4" borderId="0" applyNumberFormat="0" applyBorder="0" applyAlignment="0" applyProtection="0"/>
    <xf numFmtId="0" fontId="2" fillId="0" borderId="0">
      <alignment/>
      <protection/>
    </xf>
    <xf numFmtId="0" fontId="72" fillId="3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74" fillId="6" borderId="0" applyNumberFormat="0" applyBorder="0" applyAlignment="0" applyProtection="0"/>
    <xf numFmtId="0" fontId="75" fillId="0" borderId="5" applyNumberFormat="0" applyFill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0" fillId="24" borderId="0" applyNumberFormat="0" applyBorder="0" applyAlignment="0" applyProtection="0"/>
    <xf numFmtId="0" fontId="76" fillId="25" borderId="11">
      <alignment/>
      <protection locked="0"/>
    </xf>
    <xf numFmtId="0" fontId="16" fillId="4" borderId="0" applyNumberFormat="0" applyBorder="0" applyAlignment="0" applyProtection="0"/>
    <xf numFmtId="0" fontId="2" fillId="0" borderId="0">
      <alignment/>
      <protection/>
    </xf>
    <xf numFmtId="0" fontId="54" fillId="20" borderId="0" applyNumberFormat="0" applyBorder="0" applyAlignment="0" applyProtection="0"/>
    <xf numFmtId="0" fontId="2" fillId="0" borderId="0">
      <alignment/>
      <protection/>
    </xf>
    <xf numFmtId="0" fontId="21" fillId="4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52" fillId="14" borderId="0" applyNumberFormat="0" applyBorder="0" applyAlignment="0" applyProtection="0"/>
    <xf numFmtId="0" fontId="14" fillId="0" borderId="0">
      <alignment/>
      <protection/>
    </xf>
    <xf numFmtId="0" fontId="18" fillId="18" borderId="0" applyNumberFormat="0" applyBorder="0" applyAlignment="0" applyProtection="0"/>
    <xf numFmtId="0" fontId="31" fillId="18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41" fillId="18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14" borderId="0" applyNumberFormat="0" applyBorder="0" applyAlignment="0" applyProtection="0"/>
    <xf numFmtId="180" fontId="0" fillId="0" borderId="0" applyFont="0" applyFill="0" applyBorder="0" applyAlignment="0" applyProtection="0"/>
    <xf numFmtId="0" fontId="3" fillId="0" borderId="0">
      <alignment/>
      <protection/>
    </xf>
    <xf numFmtId="40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2" fillId="0" borderId="0">
      <alignment/>
      <protection/>
    </xf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>
      <alignment/>
      <protection/>
    </xf>
    <xf numFmtId="0" fontId="18" fillId="14" borderId="0" applyNumberFormat="0" applyBorder="0" applyAlignment="0" applyProtection="0"/>
    <xf numFmtId="181" fontId="78" fillId="0" borderId="0">
      <alignment/>
      <protection/>
    </xf>
    <xf numFmtId="0" fontId="21" fillId="4" borderId="0" applyNumberFormat="0" applyBorder="0" applyAlignment="0" applyProtection="0"/>
    <xf numFmtId="3" fontId="79" fillId="0" borderId="0">
      <alignment/>
      <protection/>
    </xf>
    <xf numFmtId="0" fontId="18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25" fillId="2" borderId="0" applyNumberFormat="0" applyBorder="0" applyAlignment="0" applyProtection="0"/>
    <xf numFmtId="0" fontId="64" fillId="2" borderId="0" applyNumberFormat="0" applyBorder="0" applyAlignment="0" applyProtection="0"/>
    <xf numFmtId="0" fontId="41" fillId="19" borderId="0" applyNumberFormat="0" applyBorder="0" applyAlignment="0" applyProtection="0"/>
    <xf numFmtId="0" fontId="15" fillId="14" borderId="0" applyNumberFormat="0" applyBorder="0" applyAlignment="0" applyProtection="0"/>
    <xf numFmtId="0" fontId="41" fillId="10" borderId="0" applyNumberFormat="0" applyBorder="0" applyAlignment="0" applyProtection="0"/>
    <xf numFmtId="0" fontId="21" fillId="4" borderId="0" applyNumberFormat="0" applyBorder="0" applyAlignment="0" applyProtection="0"/>
    <xf numFmtId="0" fontId="41" fillId="7" borderId="0" applyNumberFormat="0" applyBorder="0" applyAlignment="0" applyProtection="0"/>
    <xf numFmtId="0" fontId="61" fillId="14" borderId="0" applyNumberFormat="0" applyBorder="0" applyAlignment="0" applyProtection="0"/>
    <xf numFmtId="0" fontId="41" fillId="19" borderId="0" applyNumberFormat="0" applyBorder="0" applyAlignment="0" applyProtection="0"/>
    <xf numFmtId="0" fontId="16" fillId="4" borderId="0" applyNumberFormat="0" applyBorder="0" applyAlignment="0" applyProtection="0"/>
    <xf numFmtId="0" fontId="30" fillId="2" borderId="0" applyNumberFormat="0" applyBorder="0" applyAlignment="0" applyProtection="0"/>
    <xf numFmtId="0" fontId="15" fillId="14" borderId="0" applyNumberFormat="0" applyBorder="0" applyAlignment="0" applyProtection="0"/>
    <xf numFmtId="0" fontId="41" fillId="23" borderId="0" applyNumberFormat="0" applyBorder="0" applyAlignment="0" applyProtection="0"/>
    <xf numFmtId="0" fontId="16" fillId="4" borderId="0" applyNumberFormat="0" applyBorder="0" applyAlignment="0" applyProtection="0"/>
    <xf numFmtId="0" fontId="20" fillId="12" borderId="0" applyNumberFormat="0" applyBorder="0" applyAlignment="0" applyProtection="0"/>
    <xf numFmtId="0" fontId="82" fillId="26" borderId="0" applyNumberFormat="0" applyBorder="0" applyAlignment="0" applyProtection="0"/>
    <xf numFmtId="0" fontId="62" fillId="0" borderId="2" applyNumberFormat="0" applyFill="0" applyProtection="0">
      <alignment horizontal="center"/>
    </xf>
    <xf numFmtId="0" fontId="3" fillId="0" borderId="0">
      <alignment vertical="center"/>
      <protection/>
    </xf>
    <xf numFmtId="0" fontId="20" fillId="10" borderId="0" applyNumberFormat="0" applyBorder="0" applyAlignment="0" applyProtection="0"/>
    <xf numFmtId="0" fontId="82" fillId="27" borderId="0" applyNumberFormat="0" applyBorder="0" applyAlignment="0" applyProtection="0"/>
    <xf numFmtId="0" fontId="20" fillId="7" borderId="0" applyNumberFormat="0" applyBorder="0" applyAlignment="0" applyProtection="0"/>
    <xf numFmtId="0" fontId="17" fillId="11" borderId="0" applyNumberFormat="0" applyBorder="0" applyAlignment="0" applyProtection="0"/>
    <xf numFmtId="0" fontId="31" fillId="0" borderId="0">
      <alignment vertical="center"/>
      <protection/>
    </xf>
    <xf numFmtId="0" fontId="83" fillId="0" borderId="0" applyNumberFormat="0" applyFill="0" applyBorder="0" applyAlignment="0" applyProtection="0"/>
    <xf numFmtId="0" fontId="20" fillId="13" borderId="0" applyNumberFormat="0" applyBorder="0" applyAlignment="0" applyProtection="0"/>
    <xf numFmtId="14" fontId="27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2" fillId="0" borderId="0">
      <alignment/>
      <protection/>
    </xf>
    <xf numFmtId="0" fontId="19" fillId="3" borderId="0" applyNumberFormat="0" applyBorder="0" applyAlignment="0" applyProtection="0"/>
    <xf numFmtId="0" fontId="3" fillId="0" borderId="0">
      <alignment/>
      <protection/>
    </xf>
    <xf numFmtId="0" fontId="20" fillId="21" borderId="0" applyNumberFormat="0" applyBorder="0" applyAlignment="0" applyProtection="0"/>
    <xf numFmtId="0" fontId="54" fillId="13" borderId="0" applyNumberFormat="0" applyBorder="0" applyAlignment="0" applyProtection="0"/>
    <xf numFmtId="38" fontId="0" fillId="0" borderId="0" applyFont="0" applyFill="0" applyBorder="0" applyAlignment="0" applyProtection="0"/>
    <xf numFmtId="0" fontId="54" fillId="12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0" borderId="12" applyNumberFormat="0" applyFill="0" applyProtection="0">
      <alignment horizontal="left"/>
    </xf>
    <xf numFmtId="0" fontId="54" fillId="10" borderId="0" applyNumberFormat="0" applyBorder="0" applyAlignment="0" applyProtection="0"/>
    <xf numFmtId="0" fontId="32" fillId="0" borderId="0">
      <alignment vertical="center"/>
      <protection/>
    </xf>
    <xf numFmtId="0" fontId="54" fillId="7" borderId="0" applyNumberFormat="0" applyBorder="0" applyAlignment="0" applyProtection="0"/>
    <xf numFmtId="0" fontId="17" fillId="24" borderId="0" applyNumberFormat="0" applyBorder="0" applyAlignment="0" applyProtection="0"/>
    <xf numFmtId="0" fontId="54" fillId="13" borderId="0" applyNumberFormat="0" applyBorder="0" applyAlignment="0" applyProtection="0"/>
    <xf numFmtId="0" fontId="71" fillId="16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21" fillId="4" borderId="0" applyNumberFormat="0" applyBorder="0" applyAlignment="0" applyProtection="0"/>
    <xf numFmtId="0" fontId="23" fillId="0" borderId="0">
      <alignment/>
      <protection locked="0"/>
    </xf>
    <xf numFmtId="0" fontId="20" fillId="17" borderId="0" applyNumberFormat="0" applyBorder="0" applyAlignment="0" applyProtection="0"/>
    <xf numFmtId="0" fontId="31" fillId="18" borderId="0" applyNumberFormat="0" applyBorder="0" applyAlignment="0" applyProtection="0"/>
    <xf numFmtId="0" fontId="15" fillId="14" borderId="0" applyNumberFormat="0" applyBorder="0" applyAlignment="0" applyProtection="0"/>
    <xf numFmtId="0" fontId="17" fillId="19" borderId="0" applyNumberFormat="0" applyBorder="0" applyAlignment="0" applyProtection="0"/>
    <xf numFmtId="0" fontId="20" fillId="15" borderId="0" applyNumberFormat="0" applyBorder="0" applyAlignment="0" applyProtection="0"/>
    <xf numFmtId="0" fontId="17" fillId="28" borderId="0" applyNumberFormat="0" applyBorder="0" applyAlignment="0" applyProtection="0"/>
    <xf numFmtId="0" fontId="20" fillId="20" borderId="0" applyNumberFormat="0" applyBorder="0" applyAlignment="0" applyProtection="0"/>
    <xf numFmtId="0" fontId="19" fillId="3" borderId="0" applyNumberFormat="0" applyBorder="0" applyAlignment="0" applyProtection="0"/>
    <xf numFmtId="0" fontId="31" fillId="9" borderId="0" applyNumberFormat="0" applyBorder="0" applyAlignment="0" applyProtection="0"/>
    <xf numFmtId="0" fontId="0" fillId="0" borderId="0" applyFont="0" applyFill="0" applyBorder="0" applyAlignment="0" applyProtection="0"/>
    <xf numFmtId="0" fontId="64" fillId="2" borderId="0" applyNumberFormat="0" applyBorder="0" applyAlignment="0" applyProtection="0"/>
    <xf numFmtId="0" fontId="31" fillId="4" borderId="0" applyNumberFormat="0" applyBorder="0" applyAlignment="0" applyProtection="0"/>
    <xf numFmtId="184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17" fillId="6" borderId="0" applyNumberFormat="0" applyBorder="0" applyAlignment="0" applyProtection="0"/>
    <xf numFmtId="0" fontId="21" fillId="4" borderId="0" applyNumberFormat="0" applyBorder="0" applyAlignment="0" applyProtection="0"/>
    <xf numFmtId="0" fontId="17" fillId="8" borderId="0" applyNumberFormat="0" applyBorder="0" applyAlignment="0" applyProtection="0"/>
    <xf numFmtId="0" fontId="20" fillId="13" borderId="0" applyNumberFormat="0" applyBorder="0" applyAlignment="0" applyProtection="0"/>
    <xf numFmtId="186" fontId="84" fillId="0" borderId="13" applyAlignment="0" applyProtection="0"/>
    <xf numFmtId="0" fontId="31" fillId="18" borderId="0" applyNumberFormat="0" applyBorder="0" applyAlignment="0" applyProtection="0"/>
    <xf numFmtId="0" fontId="31" fillId="6" borderId="0" applyNumberFormat="0" applyBorder="0" applyAlignment="0" applyProtection="0"/>
    <xf numFmtId="0" fontId="17" fillId="6" borderId="0" applyNumberFormat="0" applyBorder="0" applyAlignment="0" applyProtection="0"/>
    <xf numFmtId="185" fontId="0" fillId="0" borderId="0" applyFont="0" applyFill="0" applyBorder="0" applyAlignment="0" applyProtection="0"/>
    <xf numFmtId="0" fontId="20" fillId="21" borderId="0" applyNumberFormat="0" applyBorder="0" applyAlignment="0" applyProtection="0"/>
    <xf numFmtId="0" fontId="21" fillId="4" borderId="0" applyNumberFormat="0" applyBorder="0" applyAlignment="0" applyProtection="0"/>
    <xf numFmtId="0" fontId="31" fillId="18" borderId="0" applyNumberFormat="0" applyBorder="0" applyAlignment="0" applyProtection="0"/>
    <xf numFmtId="41" fontId="0" fillId="0" borderId="0" applyFont="0" applyFill="0" applyBorder="0" applyAlignment="0" applyProtection="0"/>
    <xf numFmtId="0" fontId="109" fillId="0" borderId="0">
      <alignment vertical="center"/>
      <protection/>
    </xf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20" fillId="22" borderId="0" applyNumberFormat="0" applyBorder="0" applyAlignment="0" applyProtection="0"/>
    <xf numFmtId="0" fontId="31" fillId="5" borderId="0" applyNumberFormat="0" applyBorder="0" applyAlignment="0" applyProtection="0"/>
    <xf numFmtId="0" fontId="17" fillId="5" borderId="0" applyNumberFormat="0" applyBorder="0" applyAlignment="0" applyProtection="0"/>
    <xf numFmtId="0" fontId="57" fillId="3" borderId="0" applyNumberFormat="0" applyBorder="0" applyAlignment="0" applyProtection="0"/>
    <xf numFmtId="0" fontId="86" fillId="5" borderId="1" applyNumberFormat="0" applyAlignment="0" applyProtection="0"/>
    <xf numFmtId="187" fontId="46" fillId="0" borderId="0" applyFill="0" applyBorder="0" applyAlignment="0">
      <protection/>
    </xf>
    <xf numFmtId="0" fontId="87" fillId="6" borderId="1" applyNumberFormat="0" applyAlignment="0" applyProtection="0"/>
    <xf numFmtId="0" fontId="84" fillId="0" borderId="14">
      <alignment horizontal="center"/>
      <protection/>
    </xf>
    <xf numFmtId="0" fontId="72" fillId="3" borderId="0" applyNumberFormat="0" applyBorder="0" applyAlignment="0" applyProtection="0"/>
    <xf numFmtId="0" fontId="109" fillId="0" borderId="0">
      <alignment vertical="center"/>
      <protection/>
    </xf>
    <xf numFmtId="0" fontId="88" fillId="8" borderId="8" applyNumberFormat="0" applyAlignment="0" applyProtection="0"/>
    <xf numFmtId="0" fontId="8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44" fillId="0" borderId="0">
      <alignment/>
      <protection/>
    </xf>
    <xf numFmtId="183" fontId="0" fillId="0" borderId="0" applyFont="0" applyFill="0" applyBorder="0" applyAlignment="0" applyProtection="0"/>
    <xf numFmtId="189" fontId="2" fillId="0" borderId="0">
      <alignment/>
      <protection/>
    </xf>
    <xf numFmtId="19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191" fontId="44" fillId="0" borderId="0">
      <alignment/>
      <protection/>
    </xf>
    <xf numFmtId="0" fontId="90" fillId="0" borderId="0" applyProtection="0">
      <alignment/>
    </xf>
    <xf numFmtId="0" fontId="19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44" fillId="0" borderId="0">
      <alignment/>
      <protection/>
    </xf>
    <xf numFmtId="0" fontId="19" fillId="14" borderId="0" applyNumberFormat="0" applyBorder="0" applyAlignment="0" applyProtection="0"/>
    <xf numFmtId="0" fontId="91" fillId="0" borderId="0" applyNumberFormat="0" applyFill="0" applyBorder="0" applyAlignment="0" applyProtection="0"/>
    <xf numFmtId="0" fontId="54" fillId="17" borderId="0" applyNumberFormat="0" applyBorder="0" applyAlignment="0" applyProtection="0"/>
    <xf numFmtId="2" fontId="90" fillId="0" borderId="0" applyProtection="0">
      <alignment/>
    </xf>
    <xf numFmtId="0" fontId="63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82" fillId="29" borderId="0" applyNumberFormat="0" applyBorder="0" applyAlignment="0" applyProtection="0"/>
    <xf numFmtId="0" fontId="2" fillId="0" borderId="0">
      <alignment/>
      <protection/>
    </xf>
    <xf numFmtId="0" fontId="52" fillId="3" borderId="0" applyNumberFormat="0" applyBorder="0" applyAlignment="0" applyProtection="0"/>
    <xf numFmtId="0" fontId="21" fillId="4" borderId="0" applyNumberFormat="0" applyBorder="0" applyAlignment="0" applyProtection="0"/>
    <xf numFmtId="0" fontId="92" fillId="0" borderId="15" applyNumberFormat="0" applyAlignment="0" applyProtection="0"/>
    <xf numFmtId="0" fontId="21" fillId="4" borderId="0" applyNumberFormat="0" applyBorder="0" applyAlignment="0" applyProtection="0"/>
    <xf numFmtId="0" fontId="92" fillId="0" borderId="16">
      <alignment horizontal="left" vertical="center"/>
      <protection/>
    </xf>
    <xf numFmtId="0" fontId="93" fillId="0" borderId="0" applyProtection="0">
      <alignment/>
    </xf>
    <xf numFmtId="0" fontId="92" fillId="0" borderId="0" applyProtection="0">
      <alignment/>
    </xf>
    <xf numFmtId="0" fontId="19" fillId="3" borderId="0" applyNumberFormat="0" applyBorder="0" applyAlignment="0" applyProtection="0"/>
    <xf numFmtId="0" fontId="72" fillId="3" borderId="0" applyNumberFormat="0" applyBorder="0" applyAlignment="0" applyProtection="0"/>
    <xf numFmtId="0" fontId="74" fillId="9" borderId="17" applyNumberFormat="0" applyBorder="0" applyAlignment="0" applyProtection="0"/>
    <xf numFmtId="0" fontId="32" fillId="0" borderId="0">
      <alignment vertical="center"/>
      <protection/>
    </xf>
    <xf numFmtId="194" fontId="94" fillId="30" borderId="0">
      <alignment/>
      <protection/>
    </xf>
    <xf numFmtId="194" fontId="95" fillId="31" borderId="0">
      <alignment/>
      <protection/>
    </xf>
    <xf numFmtId="3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1" fillId="4" borderId="0" applyNumberFormat="0" applyBorder="0" applyAlignment="0" applyProtection="0"/>
    <xf numFmtId="40" fontId="0" fillId="0" borderId="0" applyFont="0" applyFill="0" applyBorder="0" applyAlignment="0" applyProtection="0"/>
    <xf numFmtId="0" fontId="19" fillId="3" borderId="0" applyNumberFormat="0" applyBorder="0" applyAlignment="0" applyProtection="0"/>
    <xf numFmtId="18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3" fillId="3" borderId="0" applyNumberFormat="0" applyBorder="0" applyAlignment="0" applyProtection="0"/>
    <xf numFmtId="193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44" fillId="0" borderId="0">
      <alignment/>
      <protection/>
    </xf>
    <xf numFmtId="37" fontId="96" fillId="0" borderId="0">
      <alignment/>
      <protection/>
    </xf>
    <xf numFmtId="0" fontId="97" fillId="0" borderId="0">
      <alignment/>
      <protection/>
    </xf>
    <xf numFmtId="0" fontId="94" fillId="0" borderId="0">
      <alignment/>
      <protection/>
    </xf>
    <xf numFmtId="0" fontId="23" fillId="0" borderId="0">
      <alignment/>
      <protection/>
    </xf>
    <xf numFmtId="0" fontId="16" fillId="4" borderId="0" applyNumberFormat="0" applyBorder="0" applyAlignment="0" applyProtection="0"/>
    <xf numFmtId="0" fontId="2" fillId="0" borderId="0">
      <alignment/>
      <protection/>
    </xf>
    <xf numFmtId="0" fontId="19" fillId="3" borderId="0" applyNumberFormat="0" applyBorder="0" applyAlignment="0" applyProtection="0"/>
    <xf numFmtId="0" fontId="0" fillId="9" borderId="3" applyNumberFormat="0" applyFont="0" applyAlignment="0" applyProtection="0"/>
    <xf numFmtId="0" fontId="98" fillId="6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Protection="0">
      <alignment/>
    </xf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2" borderId="0" applyNumberFormat="0" applyFont="0" applyBorder="0" applyAlignment="0" applyProtection="0"/>
    <xf numFmtId="0" fontId="52" fillId="14" borderId="0" applyNumberFormat="0" applyBorder="0" applyAlignment="0" applyProtection="0"/>
    <xf numFmtId="3" fontId="99" fillId="0" borderId="0">
      <alignment/>
      <protection/>
    </xf>
    <xf numFmtId="0" fontId="8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13" fillId="3" borderId="0" applyNumberFormat="0" applyBorder="0" applyAlignment="0" applyProtection="0"/>
    <xf numFmtId="0" fontId="76" fillId="25" borderId="11">
      <alignment/>
      <protection locked="0"/>
    </xf>
    <xf numFmtId="0" fontId="56" fillId="0" borderId="0">
      <alignment/>
      <protection/>
    </xf>
    <xf numFmtId="0" fontId="14" fillId="0" borderId="0">
      <alignment/>
      <protection/>
    </xf>
    <xf numFmtId="0" fontId="76" fillId="25" borderId="11">
      <alignment/>
      <protection locked="0"/>
    </xf>
    <xf numFmtId="0" fontId="100" fillId="0" borderId="0" applyNumberFormat="0" applyFill="0" applyBorder="0" applyAlignment="0" applyProtection="0"/>
    <xf numFmtId="0" fontId="32" fillId="0" borderId="0">
      <alignment vertical="center"/>
      <protection/>
    </xf>
    <xf numFmtId="0" fontId="69" fillId="0" borderId="10" applyNumberFormat="0" applyFill="0" applyAlignment="0" applyProtection="0"/>
    <xf numFmtId="179" fontId="0" fillId="0" borderId="0" applyFont="0" applyFill="0" applyBorder="0" applyAlignment="0" applyProtection="0"/>
    <xf numFmtId="0" fontId="101" fillId="0" borderId="0">
      <alignment/>
      <protection/>
    </xf>
    <xf numFmtId="17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2" borderId="0" applyNumberFormat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9" fillId="0" borderId="0">
      <alignment/>
      <protection/>
    </xf>
    <xf numFmtId="0" fontId="2" fillId="0" borderId="12" applyNumberFormat="0" applyFill="0" applyProtection="0">
      <alignment horizontal="right"/>
    </xf>
    <xf numFmtId="0" fontId="70" fillId="0" borderId="4" applyNumberFormat="0" applyFill="0" applyAlignment="0" applyProtection="0"/>
    <xf numFmtId="0" fontId="73" fillId="0" borderId="6" applyNumberFormat="0" applyFill="0" applyAlignment="0" applyProtection="0"/>
    <xf numFmtId="0" fontId="25" fillId="4" borderId="0" applyNumberFormat="0" applyBorder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3" fillId="0" borderId="12" applyNumberFormat="0" applyFill="0" applyProtection="0">
      <alignment horizontal="center"/>
    </xf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10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" fillId="0" borderId="0">
      <alignment vertical="center"/>
      <protection/>
    </xf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14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6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6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5" fillId="3" borderId="0" applyNumberFormat="0" applyBorder="0" applyAlignment="0" applyProtection="0"/>
    <xf numFmtId="0" fontId="52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1" fillId="4" borderId="0" applyNumberFormat="0" applyBorder="0" applyAlignment="0" applyProtection="0"/>
    <xf numFmtId="0" fontId="19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52" fillId="14" borderId="0" applyNumberFormat="0" applyBorder="0" applyAlignment="0" applyProtection="0"/>
    <xf numFmtId="0" fontId="15" fillId="14" borderId="0" applyNumberFormat="0" applyBorder="0" applyAlignment="0" applyProtection="0"/>
    <xf numFmtId="0" fontId="19" fillId="3" borderId="0" applyNumberFormat="0" applyBorder="0" applyAlignment="0" applyProtection="0"/>
    <xf numFmtId="0" fontId="21" fillId="4" borderId="0" applyNumberFormat="0" applyBorder="0" applyAlignment="0" applyProtection="0"/>
    <xf numFmtId="0" fontId="109" fillId="0" borderId="0">
      <alignment vertical="center"/>
      <protection/>
    </xf>
    <xf numFmtId="0" fontId="19" fillId="14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64" fillId="2" borderId="0" applyNumberFormat="0" applyBorder="0" applyAlignment="0" applyProtection="0"/>
    <xf numFmtId="0" fontId="54" fillId="22" borderId="0" applyNumberFormat="0" applyBorder="0" applyAlignment="0" applyProtection="0"/>
    <xf numFmtId="0" fontId="19" fillId="3" borderId="0" applyNumberFormat="0" applyBorder="0" applyAlignment="0" applyProtection="0"/>
    <xf numFmtId="0" fontId="15" fillId="14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14" borderId="0" applyNumberFormat="0" applyBorder="0" applyAlignment="0" applyProtection="0"/>
    <xf numFmtId="0" fontId="7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1" fillId="4" borderId="0" applyNumberFormat="0" applyBorder="0" applyAlignment="0" applyProtection="0"/>
    <xf numFmtId="0" fontId="13" fillId="3" borderId="0" applyNumberFormat="0" applyBorder="0" applyAlignment="0" applyProtection="0"/>
    <xf numFmtId="0" fontId="3" fillId="0" borderId="0">
      <alignment vertical="center"/>
      <protection/>
    </xf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25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14" borderId="0" applyNumberFormat="0" applyBorder="0" applyAlignment="0" applyProtection="0"/>
    <xf numFmtId="177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0" fillId="5" borderId="1" applyNumberFormat="0" applyAlignment="0" applyProtection="0"/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7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16" fillId="4" borderId="0" applyNumberFormat="0" applyBorder="0" applyAlignment="0" applyProtection="0"/>
    <xf numFmtId="0" fontId="3" fillId="0" borderId="0">
      <alignment vertical="center"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200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5" fillId="4" borderId="0" applyNumberFormat="0" applyBorder="0" applyAlignment="0" applyProtection="0"/>
    <xf numFmtId="0" fontId="21" fillId="4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1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5" fillId="0" borderId="10" applyNumberFormat="0" applyFill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6" fillId="4" borderId="0" applyNumberFormat="0" applyBorder="0" applyAlignment="0" applyProtection="0"/>
    <xf numFmtId="0" fontId="21" fillId="4" borderId="0" applyNumberFormat="0" applyBorder="0" applyAlignment="0" applyProtection="0"/>
    <xf numFmtId="0" fontId="16" fillId="4" borderId="0" applyNumberFormat="0" applyBorder="0" applyAlignment="0" applyProtection="0"/>
    <xf numFmtId="0" fontId="2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62" fillId="0" borderId="2" applyNumberFormat="0" applyFill="0" applyProtection="0">
      <alignment horizontal="left"/>
    </xf>
    <xf numFmtId="0" fontId="58" fillId="0" borderId="9" applyNumberFormat="0" applyFill="0" applyAlignment="0" applyProtection="0"/>
    <xf numFmtId="0" fontId="4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7" fillId="0" borderId="0">
      <alignment/>
      <protection/>
    </xf>
    <xf numFmtId="0" fontId="54" fillId="15" borderId="0" applyNumberFormat="0" applyBorder="0" applyAlignment="0" applyProtection="0"/>
    <xf numFmtId="0" fontId="108" fillId="6" borderId="7" applyNumberFormat="0" applyAlignment="0" applyProtection="0"/>
    <xf numFmtId="1" fontId="2" fillId="0" borderId="2" applyFill="0" applyProtection="0">
      <alignment horizontal="center"/>
    </xf>
    <xf numFmtId="1" fontId="1" fillId="0" borderId="17">
      <alignment vertical="center"/>
      <protection locked="0"/>
    </xf>
    <xf numFmtId="0" fontId="3" fillId="0" borderId="0">
      <alignment vertical="center"/>
      <protection/>
    </xf>
    <xf numFmtId="204" fontId="1" fillId="0" borderId="17">
      <alignment vertical="center"/>
      <protection locked="0"/>
    </xf>
    <xf numFmtId="0" fontId="14" fillId="0" borderId="0">
      <alignment/>
      <protection/>
    </xf>
    <xf numFmtId="0" fontId="85" fillId="0" borderId="0">
      <alignment/>
      <protection/>
    </xf>
    <xf numFmtId="0" fontId="102" fillId="0" borderId="0">
      <alignment/>
      <protection/>
    </xf>
    <xf numFmtId="41" fontId="0" fillId="0" borderId="0" applyFont="0" applyFill="0" applyBorder="0" applyAlignment="0" applyProtection="0"/>
    <xf numFmtId="0" fontId="0" fillId="9" borderId="3" applyNumberFormat="0" applyFont="0" applyAlignment="0" applyProtection="0"/>
    <xf numFmtId="0" fontId="0" fillId="0" borderId="0" applyFont="0" applyFill="0" applyBorder="0" applyAlignment="0" applyProtection="0"/>
    <xf numFmtId="0" fontId="109" fillId="0" borderId="0">
      <alignment vertical="center"/>
      <protection/>
    </xf>
    <xf numFmtId="0" fontId="109" fillId="0" borderId="0">
      <alignment vertical="center"/>
      <protection/>
    </xf>
    <xf numFmtId="0" fontId="109" fillId="0" borderId="0">
      <alignment vertical="center"/>
      <protection/>
    </xf>
    <xf numFmtId="0" fontId="109" fillId="0" borderId="0">
      <alignment vertical="center"/>
      <protection/>
    </xf>
    <xf numFmtId="0" fontId="109" fillId="0" borderId="0">
      <alignment vertical="center"/>
      <protection/>
    </xf>
  </cellStyleXfs>
  <cellXfs count="90">
    <xf numFmtId="0" fontId="0" fillId="0" borderId="0" xfId="0" applyAlignment="1">
      <alignment vertical="center"/>
    </xf>
    <xf numFmtId="0" fontId="2" fillId="0" borderId="0" xfId="337">
      <alignment/>
      <protection/>
    </xf>
    <xf numFmtId="0" fontId="2" fillId="4" borderId="0" xfId="337" applyFill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31" fontId="1" fillId="0" borderId="0" xfId="0" applyNumberFormat="1" applyFont="1" applyFill="1" applyBorder="1" applyAlignment="1" applyProtection="1">
      <alignment horizontal="center" vertical="center"/>
      <protection/>
    </xf>
    <xf numFmtId="3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1" fontId="1" fillId="0" borderId="18" xfId="0" applyNumberFormat="1" applyFont="1" applyFill="1" applyBorder="1" applyAlignment="1">
      <alignment horizontal="center" vertical="center"/>
    </xf>
    <xf numFmtId="31" fontId="1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 applyProtection="1">
      <alignment horizontal="left" vertical="center" shrinkToFit="1"/>
      <protection locked="0"/>
    </xf>
    <xf numFmtId="0" fontId="7" fillId="0" borderId="17" xfId="361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left" shrinkToFit="1"/>
    </xf>
    <xf numFmtId="0" fontId="6" fillId="0" borderId="17" xfId="0" applyFont="1" applyFill="1" applyBorder="1" applyAlignment="1">
      <alignment horizontal="center" shrinkToFit="1"/>
    </xf>
    <xf numFmtId="0" fontId="7" fillId="0" borderId="17" xfId="18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17" xfId="18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left" vertical="center" shrinkToFit="1"/>
      <protection locked="0"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7" xfId="470" applyFont="1" applyFill="1" applyBorder="1" applyAlignment="1" applyProtection="1">
      <alignment horizontal="left" vertical="center" shrinkToFit="1"/>
      <protection locked="0"/>
    </xf>
    <xf numFmtId="0" fontId="7" fillId="0" borderId="17" xfId="470" applyFont="1" applyFill="1" applyBorder="1" applyAlignment="1" applyProtection="1">
      <alignment horizontal="center" vertical="center" shrinkToFit="1"/>
      <protection locked="0"/>
    </xf>
    <xf numFmtId="0" fontId="7" fillId="0" borderId="17" xfId="233" applyFont="1" applyFill="1" applyBorder="1" applyAlignment="1" applyProtection="1">
      <alignment horizontal="left" vertical="center" shrinkToFit="1"/>
      <protection locked="0"/>
    </xf>
    <xf numFmtId="0" fontId="7" fillId="0" borderId="17" xfId="233" applyFont="1" applyFill="1" applyBorder="1" applyAlignment="1" applyProtection="1">
      <alignment horizontal="center" vertical="center" shrinkToFit="1"/>
      <protection locked="0"/>
    </xf>
    <xf numFmtId="0" fontId="7" fillId="0" borderId="17" xfId="38" applyFont="1" applyFill="1" applyBorder="1" applyAlignment="1" applyProtection="1">
      <alignment horizontal="left" vertical="center" shrinkToFit="1"/>
      <protection locked="0"/>
    </xf>
    <xf numFmtId="0" fontId="7" fillId="0" borderId="17" xfId="38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>
      <alignment vertical="center" shrinkToFit="1"/>
    </xf>
    <xf numFmtId="205" fontId="1" fillId="0" borderId="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17" xfId="471" applyFont="1" applyFill="1" applyBorder="1" applyAlignment="1" applyProtection="1">
      <alignment horizontal="left" vertical="center" shrinkToFit="1"/>
      <protection locked="0"/>
    </xf>
    <xf numFmtId="0" fontId="7" fillId="0" borderId="17" xfId="471" applyFont="1" applyFill="1" applyBorder="1" applyAlignment="1" applyProtection="1">
      <alignment horizontal="center" vertical="center" shrinkToFit="1"/>
      <protection locked="0"/>
    </xf>
    <xf numFmtId="0" fontId="7" fillId="0" borderId="17" xfId="472" applyFont="1" applyFill="1" applyBorder="1" applyAlignment="1" applyProtection="1">
      <alignment horizontal="left" vertical="center" shrinkToFit="1"/>
      <protection locked="0"/>
    </xf>
    <xf numFmtId="0" fontId="7" fillId="0" borderId="17" xfId="472" applyFont="1" applyFill="1" applyBorder="1" applyAlignment="1" applyProtection="1">
      <alignment horizontal="center" vertical="center" shrinkToFit="1"/>
      <protection locked="0"/>
    </xf>
    <xf numFmtId="0" fontId="7" fillId="0" borderId="17" xfId="144" applyFont="1" applyFill="1" applyBorder="1" applyAlignment="1" applyProtection="1">
      <alignment horizontal="left" vertical="center" shrinkToFit="1"/>
      <protection locked="0"/>
    </xf>
    <xf numFmtId="0" fontId="7" fillId="0" borderId="17" xfId="144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>
      <alignment shrinkToFit="1"/>
    </xf>
    <xf numFmtId="0" fontId="7" fillId="0" borderId="17" xfId="450" applyFont="1" applyFill="1" applyBorder="1" applyAlignment="1" applyProtection="1">
      <alignment horizontal="left" vertical="center" shrinkToFit="1"/>
      <protection locked="0"/>
    </xf>
    <xf numFmtId="0" fontId="7" fillId="0" borderId="17" xfId="450" applyFont="1" applyFill="1" applyBorder="1" applyAlignment="1" applyProtection="1">
      <alignment horizontal="center" vertical="center" shrinkToFit="1"/>
      <protection locked="0"/>
    </xf>
    <xf numFmtId="0" fontId="7" fillId="0" borderId="17" xfId="432" applyFont="1" applyFill="1" applyBorder="1" applyAlignment="1" applyProtection="1">
      <alignment horizontal="left" vertical="center" shrinkToFit="1"/>
      <protection locked="0"/>
    </xf>
    <xf numFmtId="0" fontId="7" fillId="0" borderId="17" xfId="432" applyFont="1" applyFill="1" applyBorder="1" applyAlignment="1" applyProtection="1">
      <alignment horizontal="center" vertical="center" shrinkToFit="1"/>
      <protection locked="0"/>
    </xf>
    <xf numFmtId="0" fontId="7" fillId="0" borderId="17" xfId="269" applyFont="1" applyFill="1" applyBorder="1" applyAlignment="1" applyProtection="1">
      <alignment horizontal="left" vertical="center" shrinkToFit="1"/>
      <protection locked="0"/>
    </xf>
    <xf numFmtId="0" fontId="7" fillId="0" borderId="17" xfId="269" applyFont="1" applyFill="1" applyBorder="1" applyAlignment="1" applyProtection="1">
      <alignment horizontal="center" vertical="center" shrinkToFit="1"/>
      <protection locked="0"/>
    </xf>
    <xf numFmtId="0" fontId="7" fillId="0" borderId="17" xfId="551" applyFont="1" applyFill="1" applyBorder="1" applyAlignment="1" applyProtection="1">
      <alignment horizontal="left" vertical="center" shrinkToFit="1"/>
      <protection locked="0"/>
    </xf>
    <xf numFmtId="0" fontId="7" fillId="0" borderId="17" xfId="551" applyFont="1" applyFill="1" applyBorder="1" applyAlignment="1" applyProtection="1">
      <alignment horizontal="center" vertical="center" shrinkToFit="1"/>
      <protection locked="0"/>
    </xf>
    <xf numFmtId="0" fontId="7" fillId="0" borderId="17" xfId="552" applyFont="1" applyFill="1" applyBorder="1" applyAlignment="1" applyProtection="1">
      <alignment horizontal="left" vertical="center" shrinkToFit="1"/>
      <protection locked="0"/>
    </xf>
    <xf numFmtId="0" fontId="7" fillId="0" borderId="17" xfId="552" applyFont="1" applyFill="1" applyBorder="1" applyAlignment="1" applyProtection="1">
      <alignment horizontal="center" vertical="center" shrinkToFit="1"/>
      <protection locked="0"/>
    </xf>
    <xf numFmtId="0" fontId="7" fillId="0" borderId="17" xfId="281" applyFont="1" applyFill="1" applyBorder="1" applyAlignment="1" applyProtection="1">
      <alignment horizontal="left" vertical="center" shrinkToFit="1"/>
      <protection locked="0"/>
    </xf>
    <xf numFmtId="0" fontId="7" fillId="0" borderId="17" xfId="281" applyFont="1" applyFill="1" applyBorder="1" applyAlignment="1" applyProtection="1">
      <alignment horizontal="center" vertical="center" shrinkToFit="1"/>
      <protection locked="0"/>
    </xf>
    <xf numFmtId="0" fontId="7" fillId="0" borderId="17" xfId="553" applyFont="1" applyFill="1" applyBorder="1" applyAlignment="1" applyProtection="1">
      <alignment horizontal="left" vertical="center" shrinkToFit="1"/>
      <protection locked="0"/>
    </xf>
    <xf numFmtId="0" fontId="7" fillId="0" borderId="17" xfId="553" applyFont="1" applyFill="1" applyBorder="1" applyAlignment="1" applyProtection="1">
      <alignment horizontal="center" vertical="center" shrinkToFit="1"/>
      <protection locked="0"/>
    </xf>
    <xf numFmtId="0" fontId="7" fillId="0" borderId="17" xfId="554" applyFont="1" applyFill="1" applyBorder="1" applyAlignment="1" applyProtection="1">
      <alignment horizontal="left" vertical="center" shrinkToFit="1"/>
      <protection locked="0"/>
    </xf>
    <xf numFmtId="0" fontId="7" fillId="0" borderId="17" xfId="554" applyFont="1" applyFill="1" applyBorder="1" applyAlignment="1" applyProtection="1">
      <alignment horizontal="center" vertical="center" shrinkToFit="1"/>
      <protection locked="0"/>
    </xf>
    <xf numFmtId="0" fontId="10" fillId="0" borderId="17" xfId="554" applyFont="1" applyFill="1" applyBorder="1" applyAlignment="1" applyProtection="1">
      <alignment horizontal="left" vertical="center" shrinkToFit="1"/>
      <protection locked="0"/>
    </xf>
    <xf numFmtId="0" fontId="7" fillId="0" borderId="17" xfId="555" applyFont="1" applyFill="1" applyBorder="1" applyAlignment="1">
      <alignment horizontal="center" vertical="center" shrinkToFit="1"/>
      <protection/>
    </xf>
    <xf numFmtId="0" fontId="110" fillId="0" borderId="17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</cellXfs>
  <cellStyles count="542">
    <cellStyle name="Normal" xfId="0"/>
    <cellStyle name="Currency [0]" xfId="15"/>
    <cellStyle name="好_05玉溪" xfId="16"/>
    <cellStyle name="Currency" xfId="17"/>
    <cellStyle name="差_Book1_Book1" xfId="18"/>
    <cellStyle name="20% - 强调文字颜色 3" xfId="19"/>
    <cellStyle name="输入" xfId="20"/>
    <cellStyle name="args.style" xfId="21"/>
    <cellStyle name="Accent2 - 40%" xfId="22"/>
    <cellStyle name="Comma [0]" xfId="23"/>
    <cellStyle name="Comma" xfId="24"/>
    <cellStyle name="好_汇总" xfId="25"/>
    <cellStyle name="40% - 强调文字颜色 3" xfId="26"/>
    <cellStyle name="计算 2" xfId="27"/>
    <cellStyle name="差" xfId="28"/>
    <cellStyle name="Hyperlink" xfId="29"/>
    <cellStyle name="日期" xfId="30"/>
    <cellStyle name="差_奖励补助测算5.23新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常规 6" xfId="38"/>
    <cellStyle name="注释" xfId="39"/>
    <cellStyle name="_ET_STYLE_NoName_00__Sheet3" xfId="40"/>
    <cellStyle name="_ET_STYLE_NoName_00__Book1" xfId="41"/>
    <cellStyle name="差_2006年分析表" xfId="42"/>
    <cellStyle name="差_2007年政法部门业务指标" xfId="43"/>
    <cellStyle name="标题 4" xfId="44"/>
    <cellStyle name="差_教师绩效工资测算表（离退休按各地上报数测算）2009年1月1日" xfId="45"/>
    <cellStyle name="60% - 强调文字颜色 2" xfId="46"/>
    <cellStyle name="警告文本" xfId="47"/>
    <cellStyle name="差_指标五" xfId="48"/>
    <cellStyle name="好_奖励补助测算5.23新" xfId="49"/>
    <cellStyle name="标题" xfId="50"/>
    <cellStyle name="差_奖励补助测算5.22测试" xfId="51"/>
    <cellStyle name="解释性文本" xfId="52"/>
    <cellStyle name="标题 1" xfId="53"/>
    <cellStyle name="百分比 4" xfId="54"/>
    <cellStyle name="标题 2" xfId="55"/>
    <cellStyle name="_附件-2：2008年12月及2009年度发电设备检修计划表" xfId="56"/>
    <cellStyle name="Accent1_Book1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计算" xfId="63"/>
    <cellStyle name="检查单元格" xfId="64"/>
    <cellStyle name="_ET_STYLE_NoName_00__县公司" xfId="65"/>
    <cellStyle name="40% - 强调文字颜色 4 2" xfId="66"/>
    <cellStyle name="好_2009年一般性转移支付标准工资_地方配套按人均增幅控制8.30一般预算平均增幅、人均可用财力平均增幅两次控制、社会治安系数调整、案件数调整xl" xfId="67"/>
    <cellStyle name="20% - 强调文字颜色 6" xfId="68"/>
    <cellStyle name="Currency [0]" xfId="69"/>
    <cellStyle name="好_三季度－表二" xfId="70"/>
    <cellStyle name="强调文字颜色 2" xfId="71"/>
    <cellStyle name="链接单元格" xfId="72"/>
    <cellStyle name="差_教育厅提供义务教育及高中教师人数（2009年1月6日）" xfId="73"/>
    <cellStyle name="汇总" xfId="74"/>
    <cellStyle name="差_Book2" xfId="75"/>
    <cellStyle name="好" xfId="76"/>
    <cellStyle name="Heading 3" xfId="77"/>
    <cellStyle name="适中" xfId="78"/>
    <cellStyle name="20% - 强调文字颜色 5" xfId="79"/>
    <cellStyle name="强调文字颜色 1" xfId="80"/>
    <cellStyle name="20% - 强调文字颜色 1" xfId="81"/>
    <cellStyle name="40% - 强调文字颜色 1" xfId="82"/>
    <cellStyle name="20% - 强调文字颜色 2" xfId="83"/>
    <cellStyle name="40% - 强调文字颜色 2" xfId="84"/>
    <cellStyle name="千位分隔[0] 2" xfId="85"/>
    <cellStyle name="强调文字颜色 3" xfId="86"/>
    <cellStyle name="强调文字颜色 4" xfId="87"/>
    <cellStyle name="PSChar" xfId="88"/>
    <cellStyle name="20% - 强调文字颜色 4" xfId="89"/>
    <cellStyle name="常规 2 2_Book1" xfId="90"/>
    <cellStyle name="40% - 强调文字颜色 4" xfId="91"/>
    <cellStyle name="强调文字颜色 5" xfId="92"/>
    <cellStyle name="40% - 强调文字颜色 5" xfId="93"/>
    <cellStyle name="60% - 强调文字颜色 5" xfId="94"/>
    <cellStyle name="差_2006年全省财力计算表（中央、决算）" xfId="95"/>
    <cellStyle name="强调文字颜色 6" xfId="96"/>
    <cellStyle name="40% - 强调文字颜色 6" xfId="97"/>
    <cellStyle name="_弱电系统设备配置报价清单" xfId="98"/>
    <cellStyle name="0,0&#13;&#10;NA&#13;&#10;" xfId="99"/>
    <cellStyle name="适中 2" xfId="100"/>
    <cellStyle name="好_业务工作量指标" xfId="101"/>
    <cellStyle name="60% - 强调文字颜色 6" xfId="102"/>
    <cellStyle name="_ET_STYLE_NoName_00_" xfId="103"/>
    <cellStyle name="_Book1_1" xfId="104"/>
    <cellStyle name="好_汇总-县级财政报表附表" xfId="105"/>
    <cellStyle name="_20100326高清市院遂宁检察院1080P配置清单26日改" xfId="106"/>
    <cellStyle name="好_2008年县级公安保障标准落实奖励经费分配测算" xfId="107"/>
    <cellStyle name="_ET_STYLE_NoName_00__Book1_1_银行账户情况表_2010年12月" xfId="108"/>
    <cellStyle name="_~4284367" xfId="109"/>
    <cellStyle name="20% - Accent5" xfId="110"/>
    <cellStyle name="_Book1_1_Book1" xfId="111"/>
    <cellStyle name="_Book1" xfId="112"/>
    <cellStyle name="_Book1_2" xfId="113"/>
    <cellStyle name="Accent2 - 20%" xfId="114"/>
    <cellStyle name="_Book1_2_Book1" xfId="115"/>
    <cellStyle name="好_Book1_4" xfId="116"/>
    <cellStyle name="Linked Cell" xfId="117"/>
    <cellStyle name="归盒啦_95" xfId="118"/>
    <cellStyle name="检查单元格 2" xfId="119"/>
    <cellStyle name="_Book1_3" xfId="120"/>
    <cellStyle name="Heading 1" xfId="121"/>
    <cellStyle name="寘嬫愗傝 [0.00]_Region Orders (2)" xfId="122"/>
    <cellStyle name="_Book1_Book1" xfId="123"/>
    <cellStyle name="20% - 强调文字颜色 3 2" xfId="124"/>
    <cellStyle name="Heading 2" xfId="125"/>
    <cellStyle name="_Book1_4" xfId="126"/>
    <cellStyle name="好_03昭通" xfId="127"/>
    <cellStyle name="_ET_STYLE_NoName_00__Book1_1" xfId="128"/>
    <cellStyle name="_ET_STYLE_NoName_00__Book1_1_县公司" xfId="129"/>
    <cellStyle name="强调文字颜色 5 2" xfId="130"/>
    <cellStyle name="_ET_STYLE_NoName_00__Book1_2" xfId="131"/>
    <cellStyle name="Accent5 - 20%" xfId="132"/>
    <cellStyle name="好_11大理" xfId="133"/>
    <cellStyle name="_ET_STYLE_NoName_00__Book1_县公司" xfId="134"/>
    <cellStyle name="Dezimal [0]_laroux" xfId="135"/>
    <cellStyle name="_ET_STYLE_NoName_00__Book1_银行账户情况表_2010年12月" xfId="136"/>
    <cellStyle name="_ET_STYLE_NoName_00__建行" xfId="137"/>
    <cellStyle name="差_奖励补助测算7.25 (version 1) (version 1)" xfId="138"/>
    <cellStyle name="_ET_STYLE_NoName_00__银行账户情况表_2010年12月" xfId="139"/>
    <cellStyle name="Accent6 - 20%" xfId="140"/>
    <cellStyle name="好_M03" xfId="141"/>
    <cellStyle name="_ET_STYLE_NoName_00__云南水利电力有限公司" xfId="142"/>
    <cellStyle name="好_0605石屏县" xfId="143"/>
    <cellStyle name="常规 10" xfId="144"/>
    <cellStyle name="Good" xfId="145"/>
    <cellStyle name="_Sheet1" xfId="146"/>
    <cellStyle name="差_Book1_2_Book1" xfId="147"/>
    <cellStyle name="_本部汇总" xfId="148"/>
    <cellStyle name="_部分业务经济资本调整模版" xfId="149"/>
    <cellStyle name="_部分业务经济资本调整模版20081011" xfId="150"/>
    <cellStyle name="_附件1：报名回执表" xfId="151"/>
    <cellStyle name="Grey" xfId="152"/>
    <cellStyle name="标题 2 2" xfId="153"/>
    <cellStyle name="_个人购车贷款经济资本计算模板" xfId="154"/>
    <cellStyle name="常规 2 6" xfId="155"/>
    <cellStyle name="_工行融资平台统计20100702" xfId="156"/>
    <cellStyle name="60% - Accent6" xfId="157"/>
    <cellStyle name="t" xfId="158"/>
    <cellStyle name="好_检验表" xfId="159"/>
    <cellStyle name="_经济资本指标表现暨零售贷款上传数据质量月度分析表" xfId="160"/>
    <cellStyle name="强调文字颜色 3 2" xfId="161"/>
    <cellStyle name="_经济资本指标表现暨零售贷款上传数据质量月度分析表20081015" xfId="162"/>
    <cellStyle name="好_Book1_Book1" xfId="163"/>
    <cellStyle name="_麻烦财务填写" xfId="164"/>
    <cellStyle name="_麻烦财务填写 (version 1)" xfId="165"/>
    <cellStyle name="差_00省级(定稿)" xfId="166"/>
    <cellStyle name="_远期交易客户汇总" xfId="167"/>
    <cellStyle name="20% - Accent1" xfId="168"/>
    <cellStyle name="Accent1 - 20%" xfId="169"/>
    <cellStyle name="20% - Accent2" xfId="170"/>
    <cellStyle name="差_县公司" xfId="171"/>
    <cellStyle name="20% - Accent3" xfId="172"/>
    <cellStyle name="20% - Accent4" xfId="173"/>
    <cellStyle name="20% - Accent6" xfId="174"/>
    <cellStyle name="20% - 强调文字颜色 1 2" xfId="175"/>
    <cellStyle name="差_奖励补助测算5.24冯铸" xfId="176"/>
    <cellStyle name="20% - 强调文字颜色 2 2" xfId="177"/>
    <cellStyle name="20% - 强调文字颜色 4 2" xfId="178"/>
    <cellStyle name="Mon閠aire_!!!GO" xfId="179"/>
    <cellStyle name="常规 3" xfId="180"/>
    <cellStyle name="콤마_BOILER-CO1" xfId="181"/>
    <cellStyle name="20% - 强调文字颜色 5 2" xfId="182"/>
    <cellStyle name="20% - 强调文字颜色 6 2" xfId="183"/>
    <cellStyle name="3232" xfId="184"/>
    <cellStyle name="40% - Accent1" xfId="185"/>
    <cellStyle name="40% - Accent2" xfId="186"/>
    <cellStyle name="40% - Accent3" xfId="187"/>
    <cellStyle name="e鯪9Y_x000B_" xfId="188"/>
    <cellStyle name="40% - Accent4" xfId="189"/>
    <cellStyle name="Normal - Style1" xfId="190"/>
    <cellStyle name="好_不用软件计算9.1不考虑经费管理评价xl" xfId="191"/>
    <cellStyle name="Black" xfId="192"/>
    <cellStyle name="40% - Accent5" xfId="193"/>
    <cellStyle name="警告文本 2" xfId="194"/>
    <cellStyle name="40% - Accent6" xfId="195"/>
    <cellStyle name="好_00省级(定稿)" xfId="196"/>
    <cellStyle name="好_第五部分(才淼、饶永宏）" xfId="197"/>
    <cellStyle name="40% - 强调文字颜色 1 2" xfId="198"/>
    <cellStyle name="差_指标四" xfId="199"/>
    <cellStyle name="40% - 强调文字颜色 2 2" xfId="200"/>
    <cellStyle name="好_奖励补助测算7.25" xfId="201"/>
    <cellStyle name="40% - 强调文字颜色 3 2" xfId="202"/>
    <cellStyle name="差_Book1_银行账户情况表_2010年12月" xfId="203"/>
    <cellStyle name="40% - 强调文字颜色 5 2" xfId="204"/>
    <cellStyle name="好_2006年分析表" xfId="205"/>
    <cellStyle name="好_Book1_县公司" xfId="206"/>
    <cellStyle name="差_03昭通" xfId="207"/>
    <cellStyle name="40% - 强调文字颜色 6 2" xfId="208"/>
    <cellStyle name="好_下半年禁毒办案经费分配2544.3万元" xfId="209"/>
    <cellStyle name="60% - Accent1" xfId="210"/>
    <cellStyle name="强调 2" xfId="211"/>
    <cellStyle name="部门" xfId="212"/>
    <cellStyle name="常规 2 2" xfId="213"/>
    <cellStyle name="60% - Accent2" xfId="214"/>
    <cellStyle name="强调 3" xfId="215"/>
    <cellStyle name="60% - Accent3" xfId="216"/>
    <cellStyle name="Accent4_Book1" xfId="217"/>
    <cellStyle name="常规 2 3" xfId="218"/>
    <cellStyle name="Hyperlink_AheadBehind.xls Chart 23" xfId="219"/>
    <cellStyle name="60% - Accent4" xfId="220"/>
    <cellStyle name="per.style" xfId="221"/>
    <cellStyle name="PSInt" xfId="222"/>
    <cellStyle name="常规 2 4" xfId="223"/>
    <cellStyle name="差_云南农村义务教育统计表" xfId="224"/>
    <cellStyle name="常规 2 5" xfId="225"/>
    <cellStyle name="60% - Accent5" xfId="226"/>
    <cellStyle name="强调文字颜色 4 2" xfId="227"/>
    <cellStyle name="콤마 [0]_BOILER-CO1" xfId="228"/>
    <cellStyle name="60% - 强调文字颜色 1 2" xfId="229"/>
    <cellStyle name="Heading 4" xfId="230"/>
    <cellStyle name="商品名称" xfId="231"/>
    <cellStyle name="60% - 强调文字颜色 2 2" xfId="232"/>
    <cellStyle name="常规 5" xfId="233"/>
    <cellStyle name="60% - 强调文字颜色 3 2" xfId="234"/>
    <cellStyle name="Accent6_Book1" xfId="235"/>
    <cellStyle name="60% - 强调文字颜色 4 2" xfId="236"/>
    <cellStyle name="Neutral" xfId="237"/>
    <cellStyle name="60% - 强调文字颜色 5 2" xfId="238"/>
    <cellStyle name="60% - 强调文字颜色 6 2" xfId="239"/>
    <cellStyle name="好_2007年人员分部门统计表" xfId="240"/>
    <cellStyle name="6mal" xfId="241"/>
    <cellStyle name="Accent1" xfId="242"/>
    <cellStyle name="Accent1 - 40%" xfId="243"/>
    <cellStyle name="差_2006年基础数据" xfId="244"/>
    <cellStyle name="Accent1 - 60%" xfId="245"/>
    <cellStyle name="Accent2" xfId="246"/>
    <cellStyle name="Accent2_Book1" xfId="247"/>
    <cellStyle name="Accent3" xfId="248"/>
    <cellStyle name="差_2007年检察院案件数" xfId="249"/>
    <cellStyle name="Accent3 - 20%" xfId="250"/>
    <cellStyle name="Milliers_!!!GO" xfId="251"/>
    <cellStyle name="好_指标四" xfId="252"/>
    <cellStyle name="Accent3 - 40%" xfId="253"/>
    <cellStyle name="Mon閠aire [0]_!!!GO" xfId="254"/>
    <cellStyle name="好_0502通海县" xfId="255"/>
    <cellStyle name="Accent3 - 60%" xfId="256"/>
    <cellStyle name="好_2009年一般性转移支付标准工资_~4190974" xfId="257"/>
    <cellStyle name="Accent3_Book1" xfId="258"/>
    <cellStyle name="Accent4" xfId="259"/>
    <cellStyle name="Border" xfId="260"/>
    <cellStyle name="Accent4 - 20%" xfId="261"/>
    <cellStyle name="Accent4 - 40%" xfId="262"/>
    <cellStyle name="Accent4 - 60%" xfId="263"/>
    <cellStyle name="捠壿 [0.00]_Region Orders (2)" xfId="264"/>
    <cellStyle name="Accent5" xfId="265"/>
    <cellStyle name="好_2009年一般性转移支付标准工资_~5676413" xfId="266"/>
    <cellStyle name="Accent5 - 40%" xfId="267"/>
    <cellStyle name="千分位[0]_ 白土" xfId="268"/>
    <cellStyle name="常规 12" xfId="269"/>
    <cellStyle name="Accent5 - 60%" xfId="270"/>
    <cellStyle name="Accent5_Book1" xfId="271"/>
    <cellStyle name="Accent6" xfId="272"/>
    <cellStyle name="Accent6 - 40%" xfId="273"/>
    <cellStyle name="Accent6 - 60%" xfId="274"/>
    <cellStyle name="Bad" xfId="275"/>
    <cellStyle name="Input_Book1" xfId="276"/>
    <cellStyle name="Calc Currency (0)" xfId="277"/>
    <cellStyle name="Calculation" xfId="278"/>
    <cellStyle name="PSHeading" xfId="279"/>
    <cellStyle name="差_530623_2006年县级财政报表附表" xfId="280"/>
    <cellStyle name="常规 15" xfId="281"/>
    <cellStyle name="Check Cell" xfId="282"/>
    <cellStyle name="ColLevel_0" xfId="283"/>
    <cellStyle name="Comma [0]" xfId="284"/>
    <cellStyle name="통화_BOILER-CO1" xfId="285"/>
    <cellStyle name="comma zerodec" xfId="286"/>
    <cellStyle name="Comma_!!!GO" xfId="287"/>
    <cellStyle name="comma-d" xfId="288"/>
    <cellStyle name="霓付 [0]_ +Foil &amp; -FOIL &amp; PAPER" xfId="289"/>
    <cellStyle name="Currency_!!!GO" xfId="290"/>
    <cellStyle name="分级显示列_1_Book1" xfId="291"/>
    <cellStyle name="Currency1" xfId="292"/>
    <cellStyle name="Date" xfId="293"/>
    <cellStyle name="差_云南省2008年中小学教职工情况（教育厅提供20090101加工整理）" xfId="294"/>
    <cellStyle name="好_指标五" xfId="295"/>
    <cellStyle name="货币 2" xfId="296"/>
    <cellStyle name="Dezimal_laroux" xfId="297"/>
    <cellStyle name="Dollar (zero dec)" xfId="298"/>
    <cellStyle name="差_1110洱源县" xfId="299"/>
    <cellStyle name="Explanatory Text" xfId="300"/>
    <cellStyle name="强调文字颜色 1 2" xfId="301"/>
    <cellStyle name="Fixed" xfId="302"/>
    <cellStyle name="Followed Hyperlink_AheadBehind.xls Chart 23" xfId="303"/>
    <cellStyle name="好_基础数据分析" xfId="304"/>
    <cellStyle name="强调 1" xfId="305"/>
    <cellStyle name="gcd" xfId="306"/>
    <cellStyle name="差_Book1_2" xfId="307"/>
    <cellStyle name="好_2009年一般性转移支付标准工资_不用软件计算9.1不考虑经费管理评价xl" xfId="308"/>
    <cellStyle name="Header1" xfId="309"/>
    <cellStyle name="好_建行" xfId="310"/>
    <cellStyle name="Header2" xfId="311"/>
    <cellStyle name="HEADING1" xfId="312"/>
    <cellStyle name="HEADING2" xfId="313"/>
    <cellStyle name="差_地方配套按人均增幅控制8.31（调整结案率后）xl" xfId="314"/>
    <cellStyle name="差_Book1_4" xfId="315"/>
    <cellStyle name="Input [yellow]" xfId="316"/>
    <cellStyle name="常规 2_02-2008决算报表格式" xfId="317"/>
    <cellStyle name="Input Cells" xfId="318"/>
    <cellStyle name="Linked Cells" xfId="319"/>
    <cellStyle name="Millares [0]_96 Risk" xfId="320"/>
    <cellStyle name="Valuta_pldt" xfId="321"/>
    <cellStyle name="好_ 表二" xfId="322"/>
    <cellStyle name="Millares_96 Risk" xfId="323"/>
    <cellStyle name="差_奖励补助测算7.25" xfId="324"/>
    <cellStyle name="Milliers [0]_!!!GO" xfId="325"/>
    <cellStyle name="Moneda [0]_96 Risk" xfId="326"/>
    <cellStyle name="差_县级基础数据" xfId="327"/>
    <cellStyle name="烹拳 [0]_ +Foil &amp; -FOIL &amp; PAPER" xfId="328"/>
    <cellStyle name="Moneda_96 Risk" xfId="329"/>
    <cellStyle name="差_2009年一般性转移支付标准工资_奖励补助测算7.23" xfId="330"/>
    <cellStyle name="New Times Roman" xfId="331"/>
    <cellStyle name="no dec" xfId="332"/>
    <cellStyle name="Non défini" xfId="333"/>
    <cellStyle name="Norma,_laroux_4_营业在建 (2)_E21" xfId="334"/>
    <cellStyle name="Normal_!!!GO" xfId="335"/>
    <cellStyle name="好_历年教师人数" xfId="336"/>
    <cellStyle name="Normal_Book1" xfId="337"/>
    <cellStyle name="差_2009年一般性转移支付标准工资_~5676413" xfId="338"/>
    <cellStyle name="Note" xfId="339"/>
    <cellStyle name="Output" xfId="340"/>
    <cellStyle name="Percent [2]" xfId="341"/>
    <cellStyle name="Percent_!!!GO" xfId="342"/>
    <cellStyle name="Pourcentage_pldt" xfId="343"/>
    <cellStyle name="标题 5" xfId="344"/>
    <cellStyle name="好_第一部分：综合全" xfId="345"/>
    <cellStyle name="PSDate" xfId="346"/>
    <cellStyle name="PSDec" xfId="347"/>
    <cellStyle name="PSSpacer" xfId="348"/>
    <cellStyle name="差_00省级(打印)" xfId="349"/>
    <cellStyle name="Red" xfId="350"/>
    <cellStyle name="RowLevel_0" xfId="351"/>
    <cellStyle name="差_2008年县级公安保障标准落实奖励经费分配测算" xfId="352"/>
    <cellStyle name="s]&#13;&#10;;load=C:\WINDOWS\VERINST.EXE APMAPP.EXE &#13;&#10;run=&#13;&#10;Beep=yes&#13;&#10;NullPort=None&#13;&#10;BorderWidth=3&#13;&#10;CursorBlinkRate=780&#13;&#10;Double" xfId="353"/>
    <cellStyle name="s]&#13;&#10;load=&#13;&#10;run=&#13;&#10;NullPort=None&#13;&#10;device=HP LaserJet 4 Plus,HPPCL5MS,LPT1:&#13;&#10;&#13;&#10;[Desktop]&#13;&#10;Wallpaper=(无)&#13;&#10;TileWallpaper=0&#13;" xfId="354"/>
    <cellStyle name="差_历年教师人数" xfId="355"/>
    <cellStyle name="sstot" xfId="356"/>
    <cellStyle name="Standard_AREAS" xfId="357"/>
    <cellStyle name="Style 1" xfId="358"/>
    <cellStyle name="t_HVAC Equipment (3)" xfId="359"/>
    <cellStyle name="Title" xfId="360"/>
    <cellStyle name="常规 2" xfId="361"/>
    <cellStyle name="Total" xfId="362"/>
    <cellStyle name="Tusental (0)_pldt" xfId="363"/>
    <cellStyle name="표준_0N-HANDLING " xfId="364"/>
    <cellStyle name="Tusental_pldt" xfId="365"/>
    <cellStyle name="Valuta (0)_pldt" xfId="366"/>
    <cellStyle name="Warning Text" xfId="367"/>
    <cellStyle name="好_Book1_1_Book1" xfId="368"/>
    <cellStyle name="烹拳_ +Foil &amp; -FOIL &amp; PAPER" xfId="369"/>
    <cellStyle name="百分比 2" xfId="370"/>
    <cellStyle name="百分比 3" xfId="371"/>
    <cellStyle name="捠壿_Region Orders (2)" xfId="372"/>
    <cellStyle name="未定义" xfId="373"/>
    <cellStyle name="编号" xfId="374"/>
    <cellStyle name="标题 1 2" xfId="375"/>
    <cellStyle name="标题 3 2" xfId="376"/>
    <cellStyle name="好_Book1_2" xfId="377"/>
    <cellStyle name="标题 4 2" xfId="378"/>
    <cellStyle name="千位分隔 3" xfId="379"/>
    <cellStyle name="标题1" xfId="380"/>
    <cellStyle name="好_00省级(打印)" xfId="381"/>
    <cellStyle name="好_Book1_2_Book1" xfId="382"/>
    <cellStyle name="表标题" xfId="383"/>
    <cellStyle name="差_丽江汇总" xfId="384"/>
    <cellStyle name="差 2" xfId="385"/>
    <cellStyle name="差_ 表二" xfId="386"/>
    <cellStyle name="差_~4190974" xfId="387"/>
    <cellStyle name="差_~5676413" xfId="388"/>
    <cellStyle name="常规 2 9" xfId="389"/>
    <cellStyle name="差_0502通海县" xfId="390"/>
    <cellStyle name="差_05玉溪" xfId="391"/>
    <cellStyle name="差_0605石屏县" xfId="392"/>
    <cellStyle name="差_1003牟定县" xfId="393"/>
    <cellStyle name="千分位_ 白土" xfId="394"/>
    <cellStyle name="差_11大理" xfId="395"/>
    <cellStyle name="差_2、土地面积、人口、粮食产量基本情况" xfId="396"/>
    <cellStyle name="差_2006年水利统计指标统计表" xfId="397"/>
    <cellStyle name="差_2006年在职人员情况" xfId="398"/>
    <cellStyle name="差_2007年可用财力" xfId="399"/>
    <cellStyle name="差_业务工作量指标" xfId="400"/>
    <cellStyle name="好_县级基础数据" xfId="401"/>
    <cellStyle name="差_2007年人员分部门统计表" xfId="402"/>
    <cellStyle name="差_2008云南省分县市中小学教职工统计表（教育厅提供）" xfId="403"/>
    <cellStyle name="差_2009年一般性转移支付标准工资" xfId="404"/>
    <cellStyle name="差_2009年一般性转移支付标准工资_~4190974" xfId="405"/>
    <cellStyle name="差_下半年禁吸戒毒经费1000万元" xfId="406"/>
    <cellStyle name="差_2009年一般性转移支付标准工资_不用软件计算9.1不考虑经费管理评价xl" xfId="407"/>
    <cellStyle name="超级链接" xfId="408"/>
    <cellStyle name="差_2009年一般性转移支付标准工资_地方配套按人均增幅控制8.30xl" xfId="409"/>
    <cellStyle name="差_2009年一般性转移支付标准工资_地方配套按人均增幅控制8.30一般预算平均增幅、人均可用财力平均增幅两次控制、社会治安系数调整、案件数调整xl" xfId="410"/>
    <cellStyle name="好_云南省2008年中小学教师人数统计表" xfId="411"/>
    <cellStyle name="差_2009年一般性转移支付标准工资_地方配套按人均增幅控制8.31（调整结案率后）xl" xfId="412"/>
    <cellStyle name="差_2009年一般性转移支付标准工资_奖励补助测算5.23新" xfId="413"/>
    <cellStyle name="差_义务教育阶段教职工人数（教育厅提供最终）" xfId="414"/>
    <cellStyle name="差_2009年一般性转移支付标准工资_奖励补助测算5.24冯铸" xfId="415"/>
    <cellStyle name="差_云南省2008年中小学教师人数统计表" xfId="416"/>
    <cellStyle name="差_2009年一般性转移支付标准工资_奖励补助测算7.25" xfId="417"/>
    <cellStyle name="差_2009年一般性转移支付标准工资_奖励补助测算7.25 (version 1) (version 1)" xfId="418"/>
    <cellStyle name="差_530629_2006年县级财政报表附表" xfId="419"/>
    <cellStyle name="差_5334_2006年迪庆县级财政报表附表" xfId="420"/>
    <cellStyle name="差_地方配套按人均增幅控制8.30xl" xfId="421"/>
    <cellStyle name="差_Book1" xfId="422"/>
    <cellStyle name="好_地方配套按人均增幅控制8.31（调整结案率后）xl" xfId="423"/>
    <cellStyle name="差_Book1_1" xfId="424"/>
    <cellStyle name="差_Book1_1_Book1" xfId="425"/>
    <cellStyle name="差_Book1_3" xfId="426"/>
    <cellStyle name="差_Book1_县公司" xfId="427"/>
    <cellStyle name="差_M01-2(州市补助收入)" xfId="428"/>
    <cellStyle name="差_M03" xfId="429"/>
    <cellStyle name="差_不用软件计算9.1不考虑经费管理评价xl" xfId="430"/>
    <cellStyle name="好_奖励补助测算5.22测试" xfId="431"/>
    <cellStyle name="常规 11" xfId="432"/>
    <cellStyle name="差_财政供养人员" xfId="433"/>
    <cellStyle name="差_财政支出对上级的依赖程度" xfId="434"/>
    <cellStyle name="常规_Sheet1" xfId="435"/>
    <cellStyle name="差_城建部门" xfId="436"/>
    <cellStyle name="好_Book2" xfId="437"/>
    <cellStyle name="强调文字颜色 6 2" xfId="438"/>
    <cellStyle name="差_地方配套按人均增幅控制8.30一般预算平均增幅、人均可用财力平均增幅两次控制、社会治安系数调整、案件数调整xl" xfId="439"/>
    <cellStyle name="差_第五部分(才淼、饶永宏）" xfId="440"/>
    <cellStyle name="差_第一部分：综合全" xfId="441"/>
    <cellStyle name="差_高中教师人数（教育厅1.6日提供）" xfId="442"/>
    <cellStyle name="差_建行" xfId="443"/>
    <cellStyle name="差_汇总" xfId="444"/>
    <cellStyle name="差_汇总-县级财政报表附表" xfId="445"/>
    <cellStyle name="分级显示行_1_13区汇总" xfId="446"/>
    <cellStyle name="差_基础数据分析" xfId="447"/>
    <cellStyle name="好_县公司" xfId="448"/>
    <cellStyle name="差_检验表" xfId="449"/>
    <cellStyle name="常规 9" xfId="450"/>
    <cellStyle name="差_检验表（调整后）" xfId="451"/>
    <cellStyle name="差_奖励补助测算7.23" xfId="452"/>
    <cellStyle name="差_三季度－表二" xfId="453"/>
    <cellStyle name="差_卫生部门" xfId="454"/>
    <cellStyle name="差_文体广播部门" xfId="455"/>
    <cellStyle name="好_M01-2(州市补助收入)" xfId="456"/>
    <cellStyle name="差_下半年禁毒办案经费分配2544.3万元" xfId="457"/>
    <cellStyle name="差_县级公安机关公用经费标准奖励测算方案（定稿）" xfId="458"/>
    <cellStyle name="貨幣 [0]_SGV" xfId="459"/>
    <cellStyle name="差_银行账户情况表_2010年12月" xfId="460"/>
    <cellStyle name="好_1110洱源县" xfId="461"/>
    <cellStyle name="好_奖励补助测算7.25 (version 1) (version 1)" xfId="462"/>
    <cellStyle name="差_云南省2008年转移支付测算——州市本级考核部分及政策性测算" xfId="463"/>
    <cellStyle name="差_云南水利电力有限公司" xfId="464"/>
    <cellStyle name="常规 2 2 2" xfId="465"/>
    <cellStyle name="常规 2 7" xfId="466"/>
    <cellStyle name="输入 2" xfId="467"/>
    <cellStyle name="常规 2 8" xfId="468"/>
    <cellStyle name="常规 3 2" xfId="469"/>
    <cellStyle name="常规 4" xfId="470"/>
    <cellStyle name="常规 7" xfId="471"/>
    <cellStyle name="常规 8" xfId="472"/>
    <cellStyle name="超链接 2" xfId="473"/>
    <cellStyle name="好 2" xfId="474"/>
    <cellStyle name="好_~4190974" xfId="475"/>
    <cellStyle name="好_2007年检察院案件数" xfId="476"/>
    <cellStyle name="好_~5676413" xfId="477"/>
    <cellStyle name="好_高中教师人数（教育厅1.6日提供）" xfId="478"/>
    <cellStyle name="好_银行账户情况表_2010年12月" xfId="479"/>
    <cellStyle name="好_2、土地面积、人口、粮食产量基本情况" xfId="480"/>
    <cellStyle name="好_2009年一般性转移支付标准工资_地方配套按人均增幅控制8.30xl" xfId="481"/>
    <cellStyle name="好_2006年基础数据" xfId="482"/>
    <cellStyle name="好_2006年全省财力计算表（中央、决算）" xfId="483"/>
    <cellStyle name="好_2006年水利统计指标统计表" xfId="484"/>
    <cellStyle name="好_奖励补助测算5.24冯铸" xfId="485"/>
    <cellStyle name="好_2006年在职人员情况" xfId="486"/>
    <cellStyle name="好_2007年可用财力" xfId="487"/>
    <cellStyle name="㼿㼿㼿㼿㼿㼿" xfId="488"/>
    <cellStyle name="好_2007年政法部门业务指标" xfId="489"/>
    <cellStyle name="好_2008云南省分县市中小学教职工统计表（教育厅提供）" xfId="490"/>
    <cellStyle name="好_2009年一般性转移支付标准工资" xfId="491"/>
    <cellStyle name="霓付_ +Foil &amp; -FOIL &amp; PAPER" xfId="492"/>
    <cellStyle name="好_2009年一般性转移支付标准工资_地方配套按人均增幅控制8.31（调整结案率后）xl" xfId="493"/>
    <cellStyle name="好_2009年一般性转移支付标准工资_奖励补助测算5.22测试" xfId="494"/>
    <cellStyle name="好_2009年一般性转移支付标准工资_奖励补助测算5.23新" xfId="495"/>
    <cellStyle name="好_2009年一般性转移支付标准工资_奖励补助测算5.24冯铸" xfId="496"/>
    <cellStyle name="好_2009年一般性转移支付标准工资_奖励补助测算7.23" xfId="497"/>
    <cellStyle name="好_2009年一般性转移支付标准工资_奖励补助测算7.25" xfId="498"/>
    <cellStyle name="好_2009年一般性转移支付标准工资_奖励补助测算7.25 (version 1) (version 1)" xfId="499"/>
    <cellStyle name="好_530623_2006年县级财政报表附表" xfId="500"/>
    <cellStyle name="好_卫生部门" xfId="501"/>
    <cellStyle name="好_530629_2006年县级财政报表附表" xfId="502"/>
    <cellStyle name="好_5334_2006年迪庆县级财政报表附表" xfId="503"/>
    <cellStyle name="好_Book1" xfId="504"/>
    <cellStyle name="好_Book1_1" xfId="505"/>
    <cellStyle name="千位分隔 2" xfId="506"/>
    <cellStyle name="好_Book1_3" xfId="507"/>
    <cellStyle name="好_Book1_银行账户情况表_2010年12月" xfId="508"/>
    <cellStyle name="好_财政供养人员" xfId="509"/>
    <cellStyle name="好_财政支出对上级的依赖程度" xfId="510"/>
    <cellStyle name="好_城建部门" xfId="511"/>
    <cellStyle name="汇总 2" xfId="512"/>
    <cellStyle name="好_地方配套按人均增幅控制8.30xl" xfId="513"/>
    <cellStyle name="好_地方配套按人均增幅控制8.30一般预算平均增幅、人均可用财力平均增幅两次控制、社会治安系数调整、案件数调整xl" xfId="514"/>
    <cellStyle name="好_检验表（调整后）" xfId="515"/>
    <cellStyle name="好_奖励补助测算7.23" xfId="516"/>
    <cellStyle name="好_教师绩效工资测算表（离退休按各地上报数测算）2009年1月1日" xfId="517"/>
    <cellStyle name="好_教育厅提供义务教育及高中教师人数（2009年1月6日）" xfId="518"/>
    <cellStyle name="好_丽江汇总" xfId="519"/>
    <cellStyle name="好_文体广播部门" xfId="520"/>
    <cellStyle name="好_云南水利电力有限公司" xfId="521"/>
    <cellStyle name="好_下半年禁吸戒毒经费1000万元" xfId="522"/>
    <cellStyle name="好_县级公安机关公用经费标准奖励测算方案（定稿）" xfId="523"/>
    <cellStyle name="好_云南省2008年中小学教职工情况（教育厅提供20090101加工整理）" xfId="524"/>
    <cellStyle name="好_义务教育阶段教职工人数（教育厅提供最终）" xfId="525"/>
    <cellStyle name="好_云南农村义务教育统计表" xfId="526"/>
    <cellStyle name="好_云南省2008年转移支付测算——州市本级考核部分及政策性测算" xfId="527"/>
    <cellStyle name="后继超级链接" xfId="528"/>
    <cellStyle name="后继超链接" xfId="529"/>
    <cellStyle name="货币 2 2" xfId="530"/>
    <cellStyle name="貨幣_SGV" xfId="531"/>
    <cellStyle name="解释性文本 2" xfId="532"/>
    <cellStyle name="借出原因" xfId="533"/>
    <cellStyle name="链接单元格 2" xfId="534"/>
    <cellStyle name="普通_ 白土" xfId="535"/>
    <cellStyle name="千位[0]_ 方正PC" xfId="536"/>
    <cellStyle name="千位_ 方正PC" xfId="537"/>
    <cellStyle name="钎霖_4岿角利" xfId="538"/>
    <cellStyle name="强调文字颜色 2 2" xfId="539"/>
    <cellStyle name="输出 2" xfId="540"/>
    <cellStyle name="数量" xfId="541"/>
    <cellStyle name="数字" xfId="542"/>
    <cellStyle name="㼿㼿㼿㼿㼿㼿㼿㼿㼿㼿㼿?" xfId="543"/>
    <cellStyle name="小数" xfId="544"/>
    <cellStyle name="样式 1" xfId="545"/>
    <cellStyle name="一般_SGV" xfId="546"/>
    <cellStyle name="昗弨_Pacific Region P&amp;L" xfId="547"/>
    <cellStyle name="寘嬫愗傝_Region Orders (2)" xfId="548"/>
    <cellStyle name="注释 2" xfId="549"/>
    <cellStyle name="통화 [0]_BOILER-CO1" xfId="550"/>
    <cellStyle name="常规 13" xfId="551"/>
    <cellStyle name="常规 14" xfId="552"/>
    <cellStyle name="常规 16" xfId="553"/>
    <cellStyle name="常规 17" xfId="554"/>
    <cellStyle name="常规 18" xfId="5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W244"/>
  <sheetViews>
    <sheetView zoomScaleSheetLayoutView="100" workbookViewId="0" topLeftCell="A1">
      <pane xSplit="8" ySplit="5" topLeftCell="L236" activePane="bottomRight" state="frozen"/>
      <selection pane="bottomRight" activeCell="P256" sqref="P256"/>
    </sheetView>
  </sheetViews>
  <sheetFormatPr defaultColWidth="9.00390625" defaultRowHeight="14.25"/>
  <cols>
    <col min="1" max="1" width="2.00390625" style="3" customWidth="1"/>
    <col min="2" max="2" width="30.75390625" style="3" customWidth="1"/>
    <col min="3" max="3" width="6.25390625" style="30" customWidth="1"/>
    <col min="4" max="4" width="7.25390625" style="30" customWidth="1"/>
    <col min="5" max="5" width="7.00390625" style="30" customWidth="1"/>
    <col min="6" max="6" width="5.625" style="30" customWidth="1"/>
    <col min="7" max="7" width="4.75390625" style="3" customWidth="1"/>
    <col min="8" max="8" width="5.875" style="3" customWidth="1"/>
    <col min="9" max="9" width="9.75390625" style="3" customWidth="1"/>
    <col min="10" max="10" width="10.875" style="3" customWidth="1"/>
    <col min="11" max="11" width="10.25390625" style="3" customWidth="1"/>
    <col min="12" max="12" width="9.75390625" style="3" customWidth="1"/>
    <col min="13" max="13" width="9.375" style="3" customWidth="1"/>
    <col min="14" max="14" width="10.00390625" style="3" customWidth="1"/>
    <col min="15" max="15" width="10.625" style="3" customWidth="1"/>
    <col min="16" max="16" width="10.50390625" style="3" customWidth="1"/>
    <col min="17" max="17" width="11.25390625" style="3" customWidth="1"/>
    <col min="18" max="18" width="10.25390625" style="3" customWidth="1"/>
    <col min="19" max="19" width="9.875" style="3" customWidth="1"/>
    <col min="20" max="20" width="10.25390625" style="3" customWidth="1"/>
    <col min="21" max="227" width="9.00390625" style="3" customWidth="1"/>
    <col min="228" max="231" width="9.00390625" style="31" customWidth="1"/>
    <col min="232" max="16384" width="9.00390625" style="32" customWidth="1"/>
  </cols>
  <sheetData>
    <row r="1" spans="2:20" s="3" customFormat="1" ht="51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3:6" s="3" customFormat="1" ht="14.25">
      <c r="C2" s="30"/>
      <c r="D2" s="30"/>
      <c r="E2" s="30"/>
      <c r="F2" s="30"/>
    </row>
    <row r="3" spans="2:18" s="25" customFormat="1" ht="18.75" customHeight="1">
      <c r="B3" s="25" t="s">
        <v>1</v>
      </c>
      <c r="C3" s="33"/>
      <c r="D3" s="34"/>
      <c r="E3" s="34"/>
      <c r="F3" s="34"/>
      <c r="G3" s="35"/>
      <c r="H3" s="35"/>
      <c r="I3" s="60"/>
      <c r="J3" s="60"/>
      <c r="L3" s="35"/>
      <c r="R3" s="25" t="s">
        <v>2</v>
      </c>
    </row>
    <row r="4" spans="2:20" s="26" customFormat="1" ht="30.75" customHeight="1">
      <c r="B4" s="36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61" t="s">
        <v>10</v>
      </c>
      <c r="J4" s="61"/>
      <c r="K4" s="61"/>
      <c r="L4" s="61"/>
      <c r="M4" s="61" t="s">
        <v>11</v>
      </c>
      <c r="N4" s="61"/>
      <c r="O4" s="61"/>
      <c r="P4" s="61"/>
      <c r="Q4" s="61" t="s">
        <v>12</v>
      </c>
      <c r="R4" s="61"/>
      <c r="S4" s="61"/>
      <c r="T4" s="61"/>
    </row>
    <row r="5" spans="2:20" s="26" customFormat="1" ht="57.75" customHeight="1">
      <c r="B5" s="38"/>
      <c r="C5" s="39"/>
      <c r="D5" s="39"/>
      <c r="E5" s="39"/>
      <c r="F5" s="39"/>
      <c r="G5" s="39"/>
      <c r="H5" s="39"/>
      <c r="I5" s="61" t="s">
        <v>13</v>
      </c>
      <c r="J5" s="61" t="s">
        <v>14</v>
      </c>
      <c r="K5" s="61" t="s">
        <v>15</v>
      </c>
      <c r="L5" s="61" t="s">
        <v>16</v>
      </c>
      <c r="M5" s="61" t="s">
        <v>13</v>
      </c>
      <c r="N5" s="61" t="s">
        <v>14</v>
      </c>
      <c r="O5" s="61" t="s">
        <v>15</v>
      </c>
      <c r="P5" s="61" t="s">
        <v>16</v>
      </c>
      <c r="Q5" s="61" t="s">
        <v>13</v>
      </c>
      <c r="R5" s="61" t="s">
        <v>14</v>
      </c>
      <c r="S5" s="61" t="s">
        <v>15</v>
      </c>
      <c r="T5" s="61" t="s">
        <v>16</v>
      </c>
    </row>
    <row r="6" spans="2:20" s="27" customFormat="1" ht="19.5" customHeight="1">
      <c r="B6" s="40" t="s">
        <v>17</v>
      </c>
      <c r="C6" s="41">
        <f aca="true" t="shared" si="0" ref="C6:G6">SUM(C7,C202,C243)</f>
        <v>34562</v>
      </c>
      <c r="D6" s="41">
        <f t="shared" si="0"/>
        <v>40591</v>
      </c>
      <c r="E6" s="41">
        <f t="shared" si="0"/>
        <v>40376</v>
      </c>
      <c r="F6" s="41">
        <f t="shared" si="0"/>
        <v>165</v>
      </c>
      <c r="G6" s="41">
        <f t="shared" si="0"/>
        <v>50</v>
      </c>
      <c r="H6" s="41"/>
      <c r="I6" s="41">
        <f aca="true" t="shared" si="1" ref="I6:T6">SUM(I7,I202,I243)</f>
        <v>29508095</v>
      </c>
      <c r="J6" s="41">
        <f t="shared" si="1"/>
        <v>23628240</v>
      </c>
      <c r="K6" s="41">
        <f t="shared" si="1"/>
        <v>2962790</v>
      </c>
      <c r="L6" s="41">
        <f t="shared" si="1"/>
        <v>2917065</v>
      </c>
      <c r="M6" s="41">
        <f t="shared" si="1"/>
        <v>14769612.77</v>
      </c>
      <c r="N6" s="41">
        <f t="shared" si="1"/>
        <v>11910646.15</v>
      </c>
      <c r="O6" s="41">
        <f t="shared" si="1"/>
        <v>1429940.96</v>
      </c>
      <c r="P6" s="41">
        <f t="shared" si="1"/>
        <v>1429025.6600000001</v>
      </c>
      <c r="Q6" s="41">
        <f t="shared" si="1"/>
        <v>14738482.23</v>
      </c>
      <c r="R6" s="41">
        <f t="shared" si="1"/>
        <v>11717593.85</v>
      </c>
      <c r="S6" s="41">
        <f t="shared" si="1"/>
        <v>1532849.04</v>
      </c>
      <c r="T6" s="41">
        <f t="shared" si="1"/>
        <v>1488039.34</v>
      </c>
    </row>
    <row r="7" spans="2:20" s="27" customFormat="1" ht="19.5" customHeight="1">
      <c r="B7" s="40" t="s">
        <v>18</v>
      </c>
      <c r="C7" s="41">
        <f aca="true" t="shared" si="2" ref="C7:G7">SUM(C8:C16,C32,C45,C56,C76,C99,C108,C118,C142,C152,C161,C170,C179,C188)</f>
        <v>23484</v>
      </c>
      <c r="D7" s="41">
        <f t="shared" si="2"/>
        <v>29504</v>
      </c>
      <c r="E7" s="41">
        <f t="shared" si="2"/>
        <v>29371</v>
      </c>
      <c r="F7" s="41">
        <f t="shared" si="2"/>
        <v>106</v>
      </c>
      <c r="G7" s="41">
        <f t="shared" si="2"/>
        <v>27</v>
      </c>
      <c r="H7" s="41"/>
      <c r="I7" s="41">
        <f aca="true" t="shared" si="3" ref="I7:T7">SUM(I8:I16,I32,I45,I56,I76,I99,I108,I118,I142,I152,I161,I170,I179,I188)</f>
        <v>19851392.7</v>
      </c>
      <c r="J7" s="41">
        <f t="shared" si="3"/>
        <v>15859313.85</v>
      </c>
      <c r="K7" s="41">
        <f t="shared" si="3"/>
        <v>2017283.27</v>
      </c>
      <c r="L7" s="41">
        <f t="shared" si="3"/>
        <v>1974795.58</v>
      </c>
      <c r="M7" s="41">
        <f t="shared" si="3"/>
        <v>9800600</v>
      </c>
      <c r="N7" s="41">
        <f t="shared" si="3"/>
        <v>7840480</v>
      </c>
      <c r="O7" s="41">
        <f t="shared" si="3"/>
        <v>980060</v>
      </c>
      <c r="P7" s="41">
        <f t="shared" si="3"/>
        <v>980060</v>
      </c>
      <c r="Q7" s="41">
        <f t="shared" si="3"/>
        <v>10050792.7</v>
      </c>
      <c r="R7" s="41">
        <f t="shared" si="3"/>
        <v>8018833.85</v>
      </c>
      <c r="S7" s="41">
        <f t="shared" si="3"/>
        <v>1037223.27</v>
      </c>
      <c r="T7" s="41">
        <f t="shared" si="3"/>
        <v>994735.5800000001</v>
      </c>
    </row>
    <row r="8" spans="2:20" s="3" customFormat="1" ht="19.5" customHeight="1">
      <c r="B8" s="42" t="s">
        <v>19</v>
      </c>
      <c r="C8" s="43">
        <v>3354</v>
      </c>
      <c r="D8" s="43">
        <v>3351</v>
      </c>
      <c r="E8" s="43">
        <v>3351</v>
      </c>
      <c r="F8" s="43"/>
      <c r="G8" s="44"/>
      <c r="H8" s="44">
        <v>650</v>
      </c>
      <c r="I8" s="44">
        <f aca="true" t="shared" si="4" ref="I8:I15">SUM(J8:L8)</f>
        <v>2006875</v>
      </c>
      <c r="J8" s="44">
        <f>1468480+136967.69</f>
        <v>1605447.69</v>
      </c>
      <c r="K8" s="44">
        <f>183560+15000</f>
        <v>198560</v>
      </c>
      <c r="L8" s="44">
        <f>183560+19307.31</f>
        <v>202867.31</v>
      </c>
      <c r="M8" s="44">
        <f aca="true" t="shared" si="5" ref="M8:M15">SUM(N8:P8)</f>
        <v>917800</v>
      </c>
      <c r="N8" s="44">
        <v>734240</v>
      </c>
      <c r="O8" s="44">
        <v>91780</v>
      </c>
      <c r="P8" s="44">
        <v>91780</v>
      </c>
      <c r="Q8" s="44">
        <f aca="true" t="shared" si="6" ref="Q8:Q15">SUM(R8:T8)</f>
        <v>1089075</v>
      </c>
      <c r="R8" s="50">
        <f aca="true" t="shared" si="7" ref="R8:T8">J8-N8</f>
        <v>871207.69</v>
      </c>
      <c r="S8" s="50">
        <f t="shared" si="7"/>
        <v>106780</v>
      </c>
      <c r="T8" s="50">
        <f t="shared" si="7"/>
        <v>111087.31</v>
      </c>
    </row>
    <row r="9" spans="2:231" s="3" customFormat="1" ht="19.5" customHeight="1">
      <c r="B9" s="42" t="s">
        <v>20</v>
      </c>
      <c r="C9" s="43"/>
      <c r="D9" s="43">
        <v>3</v>
      </c>
      <c r="E9" s="43"/>
      <c r="F9" s="43">
        <v>3</v>
      </c>
      <c r="G9" s="44"/>
      <c r="H9" s="44">
        <v>6000</v>
      </c>
      <c r="I9" s="44">
        <f t="shared" si="4"/>
        <v>18000</v>
      </c>
      <c r="J9" s="44">
        <f aca="true" t="shared" si="8" ref="J9:J13">ROUND(F9*H9*0.8,2)</f>
        <v>14400</v>
      </c>
      <c r="K9" s="44">
        <f aca="true" t="shared" si="9" ref="K9:K13">ROUND(F9*H9*0.1,2)</f>
        <v>1800</v>
      </c>
      <c r="L9" s="44">
        <f aca="true" t="shared" si="10" ref="L9:L13">ROUND(F9*H9*0.1,2)</f>
        <v>1800</v>
      </c>
      <c r="M9" s="44">
        <f t="shared" si="5"/>
        <v>9000</v>
      </c>
      <c r="N9" s="44">
        <v>7200</v>
      </c>
      <c r="O9" s="44">
        <v>900</v>
      </c>
      <c r="P9" s="44">
        <v>900</v>
      </c>
      <c r="Q9" s="44">
        <f t="shared" si="6"/>
        <v>9000</v>
      </c>
      <c r="R9" s="50">
        <f aca="true" t="shared" si="11" ref="R9:T9">J9-N9</f>
        <v>7200</v>
      </c>
      <c r="S9" s="50">
        <f t="shared" si="11"/>
        <v>900</v>
      </c>
      <c r="T9" s="50">
        <f t="shared" si="11"/>
        <v>900</v>
      </c>
      <c r="HT9" s="31"/>
      <c r="HU9" s="31"/>
      <c r="HV9" s="31"/>
      <c r="HW9" s="31"/>
    </row>
    <row r="10" spans="2:20" s="3" customFormat="1" ht="19.5" customHeight="1">
      <c r="B10" s="42" t="s">
        <v>21</v>
      </c>
      <c r="C10" s="43">
        <v>151</v>
      </c>
      <c r="D10" s="43">
        <v>149</v>
      </c>
      <c r="E10" s="43">
        <v>149</v>
      </c>
      <c r="F10" s="43"/>
      <c r="G10" s="44"/>
      <c r="H10" s="44">
        <v>650</v>
      </c>
      <c r="I10" s="44">
        <f t="shared" si="4"/>
        <v>126850</v>
      </c>
      <c r="J10" s="44">
        <f>ROUND(E10*H10*0.8,2)+30000</f>
        <v>107480</v>
      </c>
      <c r="K10" s="44">
        <f>ROUND(E10*H10*0.1,2)</f>
        <v>9685</v>
      </c>
      <c r="L10" s="44">
        <f aca="true" t="shared" si="12" ref="L10:L14">ROUND(E10*H10*0.1,2)</f>
        <v>9685</v>
      </c>
      <c r="M10" s="44">
        <f t="shared" si="5"/>
        <v>48425</v>
      </c>
      <c r="N10" s="44">
        <v>38740</v>
      </c>
      <c r="O10" s="44">
        <v>4842.5</v>
      </c>
      <c r="P10" s="44">
        <v>4842.5</v>
      </c>
      <c r="Q10" s="44">
        <f t="shared" si="6"/>
        <v>78425</v>
      </c>
      <c r="R10" s="50">
        <f aca="true" t="shared" si="13" ref="R10:T10">J10-N10</f>
        <v>68740</v>
      </c>
      <c r="S10" s="50">
        <f t="shared" si="13"/>
        <v>4842.5</v>
      </c>
      <c r="T10" s="50">
        <f t="shared" si="13"/>
        <v>4842.5</v>
      </c>
    </row>
    <row r="11" spans="2:231" s="3" customFormat="1" ht="19.5" customHeight="1">
      <c r="B11" s="42" t="s">
        <v>22</v>
      </c>
      <c r="C11" s="43"/>
      <c r="D11" s="43">
        <v>2</v>
      </c>
      <c r="E11" s="43"/>
      <c r="F11" s="43">
        <v>2</v>
      </c>
      <c r="G11" s="44"/>
      <c r="H11" s="44">
        <v>6000</v>
      </c>
      <c r="I11" s="44">
        <f t="shared" si="4"/>
        <v>12000</v>
      </c>
      <c r="J11" s="44">
        <f t="shared" si="8"/>
        <v>9600</v>
      </c>
      <c r="K11" s="44">
        <f t="shared" si="9"/>
        <v>1200</v>
      </c>
      <c r="L11" s="44">
        <f t="shared" si="10"/>
        <v>1200</v>
      </c>
      <c r="M11" s="44">
        <f t="shared" si="5"/>
        <v>6000</v>
      </c>
      <c r="N11" s="44">
        <v>4800</v>
      </c>
      <c r="O11" s="44">
        <v>600</v>
      </c>
      <c r="P11" s="44">
        <v>600</v>
      </c>
      <c r="Q11" s="44">
        <f t="shared" si="6"/>
        <v>6000</v>
      </c>
      <c r="R11" s="50">
        <f aca="true" t="shared" si="14" ref="R11:T11">J11-N11</f>
        <v>4800</v>
      </c>
      <c r="S11" s="50">
        <f t="shared" si="14"/>
        <v>600</v>
      </c>
      <c r="T11" s="50">
        <f t="shared" si="14"/>
        <v>600</v>
      </c>
      <c r="HT11" s="31"/>
      <c r="HU11" s="31"/>
      <c r="HV11" s="31"/>
      <c r="HW11" s="31"/>
    </row>
    <row r="12" spans="2:231" s="28" customFormat="1" ht="19.5" customHeight="1">
      <c r="B12" s="42" t="s">
        <v>23</v>
      </c>
      <c r="C12" s="43">
        <v>1993</v>
      </c>
      <c r="D12" s="28">
        <v>1990</v>
      </c>
      <c r="E12" s="43">
        <v>1990</v>
      </c>
      <c r="F12" s="43"/>
      <c r="G12" s="44"/>
      <c r="H12" s="44">
        <v>650</v>
      </c>
      <c r="I12" s="44">
        <f t="shared" si="4"/>
        <v>1293500</v>
      </c>
      <c r="J12" s="44">
        <f>ROUND(E12*H12*0.8,2)</f>
        <v>1034800</v>
      </c>
      <c r="K12" s="44">
        <f>ROUND(E12*H12*0.1,2)</f>
        <v>129350</v>
      </c>
      <c r="L12" s="44">
        <f t="shared" si="12"/>
        <v>129350</v>
      </c>
      <c r="M12" s="44">
        <f t="shared" si="5"/>
        <v>646750</v>
      </c>
      <c r="N12" s="44">
        <v>517400</v>
      </c>
      <c r="O12" s="44">
        <v>64675</v>
      </c>
      <c r="P12" s="44">
        <v>64675</v>
      </c>
      <c r="Q12" s="44">
        <f t="shared" si="6"/>
        <v>646750</v>
      </c>
      <c r="R12" s="50">
        <f aca="true" t="shared" si="15" ref="R12:T12">J12-N12</f>
        <v>517400</v>
      </c>
      <c r="S12" s="50">
        <f t="shared" si="15"/>
        <v>64675</v>
      </c>
      <c r="T12" s="50">
        <f t="shared" si="15"/>
        <v>64675</v>
      </c>
      <c r="HT12" s="62"/>
      <c r="HU12" s="62"/>
      <c r="HV12" s="62"/>
      <c r="HW12" s="62"/>
    </row>
    <row r="13" spans="2:231" s="3" customFormat="1" ht="19.5" customHeight="1">
      <c r="B13" s="42" t="s">
        <v>24</v>
      </c>
      <c r="C13" s="43"/>
      <c r="D13" s="43">
        <v>3</v>
      </c>
      <c r="E13" s="43"/>
      <c r="F13" s="43">
        <v>3</v>
      </c>
      <c r="G13" s="44"/>
      <c r="H13" s="44">
        <v>6000</v>
      </c>
      <c r="I13" s="44">
        <f t="shared" si="4"/>
        <v>18000</v>
      </c>
      <c r="J13" s="44">
        <f t="shared" si="8"/>
        <v>14400</v>
      </c>
      <c r="K13" s="44">
        <f t="shared" si="9"/>
        <v>1800</v>
      </c>
      <c r="L13" s="44">
        <f t="shared" si="10"/>
        <v>1800</v>
      </c>
      <c r="M13" s="44">
        <f t="shared" si="5"/>
        <v>9000</v>
      </c>
      <c r="N13" s="44">
        <v>7200</v>
      </c>
      <c r="O13" s="44">
        <v>900</v>
      </c>
      <c r="P13" s="44">
        <v>900</v>
      </c>
      <c r="Q13" s="44">
        <f t="shared" si="6"/>
        <v>9000</v>
      </c>
      <c r="R13" s="50">
        <f aca="true" t="shared" si="16" ref="R13:T13">J13-N13</f>
        <v>7200</v>
      </c>
      <c r="S13" s="50">
        <f t="shared" si="16"/>
        <v>900</v>
      </c>
      <c r="T13" s="50">
        <f t="shared" si="16"/>
        <v>900</v>
      </c>
      <c r="HT13" s="31"/>
      <c r="HU13" s="31"/>
      <c r="HV13" s="31"/>
      <c r="HW13" s="31"/>
    </row>
    <row r="14" spans="2:20" s="3" customFormat="1" ht="19.5" customHeight="1">
      <c r="B14" s="42" t="s">
        <v>25</v>
      </c>
      <c r="C14" s="43">
        <v>491</v>
      </c>
      <c r="D14" s="43">
        <v>490</v>
      </c>
      <c r="E14" s="43">
        <v>490</v>
      </c>
      <c r="F14" s="43"/>
      <c r="G14" s="44"/>
      <c r="H14" s="44">
        <v>650</v>
      </c>
      <c r="I14" s="44">
        <f t="shared" si="4"/>
        <v>348500</v>
      </c>
      <c r="J14" s="44">
        <f>ROUND(E14*H14*0.8,2)+6085</f>
        <v>260885</v>
      </c>
      <c r="K14" s="44">
        <f>ROUND(E14*H14*0.1,2)+23915</f>
        <v>55765</v>
      </c>
      <c r="L14" s="44">
        <f t="shared" si="12"/>
        <v>31850</v>
      </c>
      <c r="M14" s="44">
        <f t="shared" si="5"/>
        <v>159250</v>
      </c>
      <c r="N14" s="44">
        <v>127400</v>
      </c>
      <c r="O14" s="44">
        <v>15925</v>
      </c>
      <c r="P14" s="44">
        <v>15925</v>
      </c>
      <c r="Q14" s="44">
        <f t="shared" si="6"/>
        <v>189250</v>
      </c>
      <c r="R14" s="50">
        <f aca="true" t="shared" si="17" ref="R14:T14">J14-N14</f>
        <v>133485</v>
      </c>
      <c r="S14" s="50">
        <f t="shared" si="17"/>
        <v>39840</v>
      </c>
      <c r="T14" s="50">
        <f t="shared" si="17"/>
        <v>15925</v>
      </c>
    </row>
    <row r="15" spans="2:20" s="3" customFormat="1" ht="19.5" customHeight="1">
      <c r="B15" s="42" t="s">
        <v>26</v>
      </c>
      <c r="C15" s="43"/>
      <c r="D15" s="43">
        <v>1</v>
      </c>
      <c r="E15" s="43"/>
      <c r="F15" s="43"/>
      <c r="G15" s="44">
        <v>1</v>
      </c>
      <c r="H15" s="44">
        <v>6000</v>
      </c>
      <c r="I15" s="44">
        <f t="shared" si="4"/>
        <v>6000</v>
      </c>
      <c r="J15" s="44">
        <f>ROUND(G15*H15*0.8,2)</f>
        <v>4800</v>
      </c>
      <c r="K15" s="44">
        <f>ROUND(G15*H15*0.1,2)</f>
        <v>600</v>
      </c>
      <c r="L15" s="44">
        <f>ROUND(G15*H15*0.1,2)</f>
        <v>600</v>
      </c>
      <c r="M15" s="44">
        <f t="shared" si="5"/>
        <v>3000</v>
      </c>
      <c r="N15" s="44">
        <v>2400</v>
      </c>
      <c r="O15" s="44">
        <v>300</v>
      </c>
      <c r="P15" s="44">
        <v>300</v>
      </c>
      <c r="Q15" s="44">
        <f t="shared" si="6"/>
        <v>3000</v>
      </c>
      <c r="R15" s="50">
        <f aca="true" t="shared" si="18" ref="R15:T15">J15-N15</f>
        <v>2400</v>
      </c>
      <c r="S15" s="50">
        <f t="shared" si="18"/>
        <v>300</v>
      </c>
      <c r="T15" s="50">
        <f t="shared" si="18"/>
        <v>300</v>
      </c>
    </row>
    <row r="16" spans="2:20" s="27" customFormat="1" ht="19.5" customHeight="1">
      <c r="B16" s="45" t="s">
        <v>27</v>
      </c>
      <c r="C16" s="46">
        <f aca="true" t="shared" si="19" ref="C16:G16">SUM(C17:C31)</f>
        <v>849</v>
      </c>
      <c r="D16" s="46">
        <f t="shared" si="19"/>
        <v>1409</v>
      </c>
      <c r="E16" s="46">
        <f t="shared" si="19"/>
        <v>1401</v>
      </c>
      <c r="F16" s="46">
        <f t="shared" si="19"/>
        <v>8</v>
      </c>
      <c r="G16" s="46">
        <f t="shared" si="19"/>
        <v>0</v>
      </c>
      <c r="H16" s="46"/>
      <c r="I16" s="46">
        <f aca="true" t="shared" si="20" ref="I16:T16">SUM(I17:I31)</f>
        <v>958650</v>
      </c>
      <c r="J16" s="46">
        <f t="shared" si="20"/>
        <v>766920</v>
      </c>
      <c r="K16" s="46">
        <f t="shared" si="20"/>
        <v>95865</v>
      </c>
      <c r="L16" s="46">
        <f t="shared" si="20"/>
        <v>95865</v>
      </c>
      <c r="M16" s="46">
        <f t="shared" si="20"/>
        <v>479325</v>
      </c>
      <c r="N16" s="46">
        <f t="shared" si="20"/>
        <v>383460</v>
      </c>
      <c r="O16" s="46">
        <f t="shared" si="20"/>
        <v>47932.5</v>
      </c>
      <c r="P16" s="46">
        <f t="shared" si="20"/>
        <v>47932.5</v>
      </c>
      <c r="Q16" s="46">
        <f t="shared" si="20"/>
        <v>479325</v>
      </c>
      <c r="R16" s="46">
        <f t="shared" si="20"/>
        <v>383460</v>
      </c>
      <c r="S16" s="46">
        <f t="shared" si="20"/>
        <v>47932.5</v>
      </c>
      <c r="T16" s="46">
        <f t="shared" si="20"/>
        <v>47932.5</v>
      </c>
    </row>
    <row r="17" spans="2:20" s="3" customFormat="1" ht="19.5" customHeight="1">
      <c r="B17" s="47" t="s">
        <v>28</v>
      </c>
      <c r="C17" s="48">
        <v>40</v>
      </c>
      <c r="D17" s="44">
        <v>100</v>
      </c>
      <c r="E17" s="43">
        <f aca="true" t="shared" si="21" ref="E17:E22">D17</f>
        <v>100</v>
      </c>
      <c r="F17" s="44"/>
      <c r="G17" s="44"/>
      <c r="H17" s="44">
        <v>650</v>
      </c>
      <c r="I17" s="44">
        <f aca="true" t="shared" si="22" ref="I17:I31">SUM(J17:L17)</f>
        <v>65000</v>
      </c>
      <c r="J17" s="44">
        <f aca="true" t="shared" si="23" ref="J17:J22">ROUND(E17*H17*0.8,2)</f>
        <v>52000</v>
      </c>
      <c r="K17" s="44">
        <f aca="true" t="shared" si="24" ref="K17:K22">ROUND(E17*H17*0.1,2)</f>
        <v>6500</v>
      </c>
      <c r="L17" s="44">
        <f aca="true" t="shared" si="25" ref="L17:L22">ROUND(E17*H17*0.1,2)</f>
        <v>6500</v>
      </c>
      <c r="M17" s="44">
        <f aca="true" t="shared" si="26" ref="M17:M31">SUM(N17:P17)</f>
        <v>32500</v>
      </c>
      <c r="N17" s="44">
        <v>26000</v>
      </c>
      <c r="O17" s="44">
        <v>3250</v>
      </c>
      <c r="P17" s="44">
        <v>3250</v>
      </c>
      <c r="Q17" s="44">
        <f aca="true" t="shared" si="27" ref="Q17:Q31">SUM(R17:T17)</f>
        <v>32500</v>
      </c>
      <c r="R17" s="50">
        <f aca="true" t="shared" si="28" ref="R17:T17">J17-N17</f>
        <v>26000</v>
      </c>
      <c r="S17" s="50">
        <f t="shared" si="28"/>
        <v>3250</v>
      </c>
      <c r="T17" s="50">
        <f t="shared" si="28"/>
        <v>3250</v>
      </c>
    </row>
    <row r="18" spans="2:231" s="3" customFormat="1" ht="19.5" customHeight="1">
      <c r="B18" s="47" t="s">
        <v>29</v>
      </c>
      <c r="C18" s="49"/>
      <c r="D18" s="44">
        <v>1</v>
      </c>
      <c r="E18" s="43"/>
      <c r="F18" s="43">
        <v>1</v>
      </c>
      <c r="G18" s="44"/>
      <c r="H18" s="44">
        <v>6000</v>
      </c>
      <c r="I18" s="44">
        <f t="shared" si="22"/>
        <v>6000</v>
      </c>
      <c r="J18" s="44">
        <f aca="true" t="shared" si="29" ref="J18:J23">ROUND(F18*H18*0.8,2)</f>
        <v>4800</v>
      </c>
      <c r="K18" s="44">
        <f aca="true" t="shared" si="30" ref="K18:K23">ROUND(F18*H18*0.1,2)</f>
        <v>600</v>
      </c>
      <c r="L18" s="44">
        <f aca="true" t="shared" si="31" ref="L18:L23">ROUND(F18*H18*0.1,2)</f>
        <v>600</v>
      </c>
      <c r="M18" s="44">
        <f t="shared" si="26"/>
        <v>3000</v>
      </c>
      <c r="N18" s="44">
        <v>2400</v>
      </c>
      <c r="O18" s="44">
        <v>300</v>
      </c>
      <c r="P18" s="44">
        <v>300</v>
      </c>
      <c r="Q18" s="44">
        <f t="shared" si="27"/>
        <v>3000</v>
      </c>
      <c r="R18" s="50">
        <f aca="true" t="shared" si="32" ref="R18:T18">J18-N18</f>
        <v>2400</v>
      </c>
      <c r="S18" s="50">
        <f t="shared" si="32"/>
        <v>300</v>
      </c>
      <c r="T18" s="50">
        <f t="shared" si="32"/>
        <v>300</v>
      </c>
      <c r="HT18" s="31"/>
      <c r="HU18" s="31"/>
      <c r="HV18" s="31"/>
      <c r="HW18" s="31"/>
    </row>
    <row r="19" spans="2:20" s="3" customFormat="1" ht="19.5" customHeight="1">
      <c r="B19" s="47" t="s">
        <v>30</v>
      </c>
      <c r="C19" s="50">
        <v>406</v>
      </c>
      <c r="D19" s="49">
        <v>401</v>
      </c>
      <c r="E19" s="43">
        <v>401</v>
      </c>
      <c r="F19" s="49"/>
      <c r="G19" s="44"/>
      <c r="H19" s="44">
        <v>650</v>
      </c>
      <c r="I19" s="44">
        <f t="shared" si="22"/>
        <v>260650</v>
      </c>
      <c r="J19" s="44">
        <f t="shared" si="23"/>
        <v>208520</v>
      </c>
      <c r="K19" s="44">
        <f t="shared" si="24"/>
        <v>26065</v>
      </c>
      <c r="L19" s="44">
        <f t="shared" si="25"/>
        <v>26065</v>
      </c>
      <c r="M19" s="44">
        <f t="shared" si="26"/>
        <v>130325</v>
      </c>
      <c r="N19" s="44">
        <v>104260</v>
      </c>
      <c r="O19" s="44">
        <v>13032.5</v>
      </c>
      <c r="P19" s="44">
        <v>13032.5</v>
      </c>
      <c r="Q19" s="44">
        <f t="shared" si="27"/>
        <v>130325</v>
      </c>
      <c r="R19" s="50">
        <f aca="true" t="shared" si="33" ref="R19:T19">J19-N19</f>
        <v>104260</v>
      </c>
      <c r="S19" s="50">
        <f t="shared" si="33"/>
        <v>13032.5</v>
      </c>
      <c r="T19" s="50">
        <f t="shared" si="33"/>
        <v>13032.5</v>
      </c>
    </row>
    <row r="20" spans="2:231" s="3" customFormat="1" ht="19.5" customHeight="1">
      <c r="B20" s="47" t="s">
        <v>31</v>
      </c>
      <c r="C20" s="48"/>
      <c r="D20" s="49">
        <v>5</v>
      </c>
      <c r="E20" s="43"/>
      <c r="F20" s="49">
        <v>5</v>
      </c>
      <c r="G20" s="44"/>
      <c r="H20" s="44">
        <v>6000</v>
      </c>
      <c r="I20" s="44">
        <f t="shared" si="22"/>
        <v>30000</v>
      </c>
      <c r="J20" s="44">
        <f t="shared" si="29"/>
        <v>24000</v>
      </c>
      <c r="K20" s="44">
        <f t="shared" si="30"/>
        <v>3000</v>
      </c>
      <c r="L20" s="44">
        <f t="shared" si="31"/>
        <v>3000</v>
      </c>
      <c r="M20" s="44">
        <f t="shared" si="26"/>
        <v>15000</v>
      </c>
      <c r="N20" s="44">
        <v>12000</v>
      </c>
      <c r="O20" s="44">
        <v>1500</v>
      </c>
      <c r="P20" s="44">
        <v>1500</v>
      </c>
      <c r="Q20" s="44">
        <f t="shared" si="27"/>
        <v>15000</v>
      </c>
      <c r="R20" s="50">
        <f aca="true" t="shared" si="34" ref="R20:T20">J20-N20</f>
        <v>12000</v>
      </c>
      <c r="S20" s="50">
        <f t="shared" si="34"/>
        <v>1500</v>
      </c>
      <c r="T20" s="50">
        <f t="shared" si="34"/>
        <v>1500</v>
      </c>
      <c r="HT20" s="31"/>
      <c r="HU20" s="31"/>
      <c r="HV20" s="31"/>
      <c r="HW20" s="31"/>
    </row>
    <row r="21" spans="2:20" s="3" customFormat="1" ht="19.5" customHeight="1">
      <c r="B21" s="47" t="s">
        <v>32</v>
      </c>
      <c r="C21" s="49">
        <v>47</v>
      </c>
      <c r="D21" s="44">
        <v>100</v>
      </c>
      <c r="E21" s="43">
        <f t="shared" si="21"/>
        <v>100</v>
      </c>
      <c r="F21" s="44"/>
      <c r="G21" s="44"/>
      <c r="H21" s="44">
        <v>650</v>
      </c>
      <c r="I21" s="44">
        <f t="shared" si="22"/>
        <v>65000</v>
      </c>
      <c r="J21" s="44">
        <f t="shared" si="23"/>
        <v>52000</v>
      </c>
      <c r="K21" s="44">
        <f t="shared" si="24"/>
        <v>6500</v>
      </c>
      <c r="L21" s="44">
        <f t="shared" si="25"/>
        <v>6500</v>
      </c>
      <c r="M21" s="44">
        <f t="shared" si="26"/>
        <v>32500</v>
      </c>
      <c r="N21" s="44">
        <v>26000</v>
      </c>
      <c r="O21" s="44">
        <v>3250</v>
      </c>
      <c r="P21" s="44">
        <v>3250</v>
      </c>
      <c r="Q21" s="44">
        <f t="shared" si="27"/>
        <v>32500</v>
      </c>
      <c r="R21" s="50">
        <f aca="true" t="shared" si="35" ref="R21:T21">J21-N21</f>
        <v>26000</v>
      </c>
      <c r="S21" s="50">
        <f t="shared" si="35"/>
        <v>3250</v>
      </c>
      <c r="T21" s="50">
        <f t="shared" si="35"/>
        <v>3250</v>
      </c>
    </row>
    <row r="22" spans="2:20" s="3" customFormat="1" ht="19.5" customHeight="1">
      <c r="B22" s="47" t="s">
        <v>33</v>
      </c>
      <c r="C22" s="49">
        <v>43</v>
      </c>
      <c r="D22" s="44">
        <v>100</v>
      </c>
      <c r="E22" s="43">
        <f t="shared" si="21"/>
        <v>100</v>
      </c>
      <c r="F22" s="44"/>
      <c r="G22" s="44"/>
      <c r="H22" s="44">
        <v>650</v>
      </c>
      <c r="I22" s="44">
        <f t="shared" si="22"/>
        <v>65000</v>
      </c>
      <c r="J22" s="44">
        <f t="shared" si="23"/>
        <v>52000</v>
      </c>
      <c r="K22" s="44">
        <f t="shared" si="24"/>
        <v>6500</v>
      </c>
      <c r="L22" s="44">
        <f t="shared" si="25"/>
        <v>6500</v>
      </c>
      <c r="M22" s="44">
        <f t="shared" si="26"/>
        <v>32500</v>
      </c>
      <c r="N22" s="44">
        <v>26000</v>
      </c>
      <c r="O22" s="44">
        <v>3250</v>
      </c>
      <c r="P22" s="44">
        <v>3250</v>
      </c>
      <c r="Q22" s="44">
        <f t="shared" si="27"/>
        <v>32500</v>
      </c>
      <c r="R22" s="50">
        <f aca="true" t="shared" si="36" ref="R22:T22">J22-N22</f>
        <v>26000</v>
      </c>
      <c r="S22" s="50">
        <f t="shared" si="36"/>
        <v>3250</v>
      </c>
      <c r="T22" s="50">
        <f t="shared" si="36"/>
        <v>3250</v>
      </c>
    </row>
    <row r="23" spans="2:231" s="3" customFormat="1" ht="19.5" customHeight="1">
      <c r="B23" s="47" t="s">
        <v>34</v>
      </c>
      <c r="C23" s="48"/>
      <c r="D23" s="49">
        <v>1</v>
      </c>
      <c r="E23" s="43"/>
      <c r="F23" s="49">
        <v>1</v>
      </c>
      <c r="G23" s="44"/>
      <c r="H23" s="44">
        <v>6000</v>
      </c>
      <c r="I23" s="44">
        <f t="shared" si="22"/>
        <v>6000</v>
      </c>
      <c r="J23" s="44">
        <f t="shared" si="29"/>
        <v>4800</v>
      </c>
      <c r="K23" s="44">
        <f t="shared" si="30"/>
        <v>600</v>
      </c>
      <c r="L23" s="44">
        <f t="shared" si="31"/>
        <v>600</v>
      </c>
      <c r="M23" s="44">
        <f t="shared" si="26"/>
        <v>3000</v>
      </c>
      <c r="N23" s="44">
        <v>2400</v>
      </c>
      <c r="O23" s="44">
        <v>300</v>
      </c>
      <c r="P23" s="44">
        <v>300</v>
      </c>
      <c r="Q23" s="44">
        <f t="shared" si="27"/>
        <v>3000</v>
      </c>
      <c r="R23" s="50">
        <f aca="true" t="shared" si="37" ref="R23:T23">J23-N23</f>
        <v>2400</v>
      </c>
      <c r="S23" s="50">
        <f t="shared" si="37"/>
        <v>300</v>
      </c>
      <c r="T23" s="50">
        <f t="shared" si="37"/>
        <v>300</v>
      </c>
      <c r="HT23" s="31"/>
      <c r="HU23" s="31"/>
      <c r="HV23" s="31"/>
      <c r="HW23" s="31"/>
    </row>
    <row r="24" spans="2:20" s="3" customFormat="1" ht="19.5" customHeight="1">
      <c r="B24" s="47" t="s">
        <v>35</v>
      </c>
      <c r="C24" s="49">
        <v>66</v>
      </c>
      <c r="D24" s="44">
        <v>100</v>
      </c>
      <c r="E24" s="43">
        <f aca="true" t="shared" si="38" ref="E24:E26">D24</f>
        <v>100</v>
      </c>
      <c r="F24" s="44"/>
      <c r="G24" s="44"/>
      <c r="H24" s="44">
        <v>650</v>
      </c>
      <c r="I24" s="44">
        <f t="shared" si="22"/>
        <v>65000</v>
      </c>
      <c r="J24" s="44">
        <f aca="true" t="shared" si="39" ref="J24:J27">ROUND(E24*H24*0.8,2)</f>
        <v>52000</v>
      </c>
      <c r="K24" s="44">
        <f aca="true" t="shared" si="40" ref="K24:K27">ROUND(E24*H24*0.1,2)</f>
        <v>6500</v>
      </c>
      <c r="L24" s="44">
        <f aca="true" t="shared" si="41" ref="L24:L27">ROUND(E24*H24*0.1,2)</f>
        <v>6500</v>
      </c>
      <c r="M24" s="44">
        <f t="shared" si="26"/>
        <v>32500</v>
      </c>
      <c r="N24" s="44">
        <v>26000</v>
      </c>
      <c r="O24" s="44">
        <v>3250</v>
      </c>
      <c r="P24" s="44">
        <v>3250</v>
      </c>
      <c r="Q24" s="44">
        <f t="shared" si="27"/>
        <v>32500</v>
      </c>
      <c r="R24" s="50">
        <f aca="true" t="shared" si="42" ref="R24:T24">J24-N24</f>
        <v>26000</v>
      </c>
      <c r="S24" s="50">
        <f t="shared" si="42"/>
        <v>3250</v>
      </c>
      <c r="T24" s="50">
        <f t="shared" si="42"/>
        <v>3250</v>
      </c>
    </row>
    <row r="25" spans="2:20" s="3" customFormat="1" ht="19.5" customHeight="1">
      <c r="B25" s="47" t="s">
        <v>36</v>
      </c>
      <c r="C25" s="49">
        <v>28</v>
      </c>
      <c r="D25" s="44">
        <v>100</v>
      </c>
      <c r="E25" s="43">
        <f t="shared" si="38"/>
        <v>100</v>
      </c>
      <c r="F25" s="44"/>
      <c r="G25" s="44"/>
      <c r="H25" s="44">
        <v>650</v>
      </c>
      <c r="I25" s="44">
        <f t="shared" si="22"/>
        <v>65000</v>
      </c>
      <c r="J25" s="44">
        <f t="shared" si="39"/>
        <v>52000</v>
      </c>
      <c r="K25" s="44">
        <f t="shared" si="40"/>
        <v>6500</v>
      </c>
      <c r="L25" s="44">
        <f t="shared" si="41"/>
        <v>6500</v>
      </c>
      <c r="M25" s="44">
        <f t="shared" si="26"/>
        <v>32500</v>
      </c>
      <c r="N25" s="44">
        <v>26000</v>
      </c>
      <c r="O25" s="44">
        <v>3250</v>
      </c>
      <c r="P25" s="44">
        <v>3250</v>
      </c>
      <c r="Q25" s="44">
        <f t="shared" si="27"/>
        <v>32500</v>
      </c>
      <c r="R25" s="50">
        <f aca="true" t="shared" si="43" ref="R25:T25">J25-N25</f>
        <v>26000</v>
      </c>
      <c r="S25" s="50">
        <f t="shared" si="43"/>
        <v>3250</v>
      </c>
      <c r="T25" s="50">
        <f t="shared" si="43"/>
        <v>3250</v>
      </c>
    </row>
    <row r="26" spans="2:20" s="3" customFormat="1" ht="19.5" customHeight="1">
      <c r="B26" s="47" t="s">
        <v>37</v>
      </c>
      <c r="C26" s="49">
        <v>52</v>
      </c>
      <c r="D26" s="44">
        <v>100</v>
      </c>
      <c r="E26" s="43">
        <f t="shared" si="38"/>
        <v>100</v>
      </c>
      <c r="F26" s="44"/>
      <c r="G26" s="44"/>
      <c r="H26" s="44">
        <v>650</v>
      </c>
      <c r="I26" s="44">
        <f t="shared" si="22"/>
        <v>65000</v>
      </c>
      <c r="J26" s="44">
        <f t="shared" si="39"/>
        <v>52000</v>
      </c>
      <c r="K26" s="44">
        <f t="shared" si="40"/>
        <v>6500</v>
      </c>
      <c r="L26" s="44">
        <f t="shared" si="41"/>
        <v>6500</v>
      </c>
      <c r="M26" s="44">
        <f t="shared" si="26"/>
        <v>32500</v>
      </c>
      <c r="N26" s="44">
        <v>26000</v>
      </c>
      <c r="O26" s="44">
        <v>3250</v>
      </c>
      <c r="P26" s="44">
        <v>3250</v>
      </c>
      <c r="Q26" s="44">
        <f t="shared" si="27"/>
        <v>32500</v>
      </c>
      <c r="R26" s="50">
        <f aca="true" t="shared" si="44" ref="R26:T26">J26-N26</f>
        <v>26000</v>
      </c>
      <c r="S26" s="50">
        <f t="shared" si="44"/>
        <v>3250</v>
      </c>
      <c r="T26" s="50">
        <f t="shared" si="44"/>
        <v>3250</v>
      </c>
    </row>
    <row r="27" spans="2:20" s="3" customFormat="1" ht="19.5" customHeight="1">
      <c r="B27" s="47" t="s">
        <v>38</v>
      </c>
      <c r="C27" s="49">
        <v>100</v>
      </c>
      <c r="D27" s="44">
        <v>100</v>
      </c>
      <c r="E27" s="43">
        <v>100</v>
      </c>
      <c r="F27" s="44"/>
      <c r="G27" s="44"/>
      <c r="H27" s="44">
        <v>650</v>
      </c>
      <c r="I27" s="44">
        <f t="shared" si="22"/>
        <v>65000</v>
      </c>
      <c r="J27" s="44">
        <f t="shared" si="39"/>
        <v>52000</v>
      </c>
      <c r="K27" s="44">
        <f t="shared" si="40"/>
        <v>6500</v>
      </c>
      <c r="L27" s="44">
        <f t="shared" si="41"/>
        <v>6500</v>
      </c>
      <c r="M27" s="44">
        <f t="shared" si="26"/>
        <v>32500</v>
      </c>
      <c r="N27" s="44">
        <v>26000</v>
      </c>
      <c r="O27" s="44">
        <v>3250</v>
      </c>
      <c r="P27" s="44">
        <v>3250</v>
      </c>
      <c r="Q27" s="44">
        <f t="shared" si="27"/>
        <v>32500</v>
      </c>
      <c r="R27" s="50">
        <f aca="true" t="shared" si="45" ref="R27:T27">J27-N27</f>
        <v>26000</v>
      </c>
      <c r="S27" s="50">
        <f t="shared" si="45"/>
        <v>3250</v>
      </c>
      <c r="T27" s="50">
        <f t="shared" si="45"/>
        <v>3250</v>
      </c>
    </row>
    <row r="28" spans="2:231" s="3" customFormat="1" ht="19.5" customHeight="1">
      <c r="B28" s="47" t="s">
        <v>39</v>
      </c>
      <c r="C28" s="49"/>
      <c r="D28" s="49">
        <v>1</v>
      </c>
      <c r="E28" s="43"/>
      <c r="F28" s="49">
        <v>1</v>
      </c>
      <c r="G28" s="44"/>
      <c r="H28" s="44">
        <v>6000</v>
      </c>
      <c r="I28" s="44">
        <f t="shared" si="22"/>
        <v>6000</v>
      </c>
      <c r="J28" s="44">
        <f>ROUND(F28*H28*0.8,2)</f>
        <v>4800</v>
      </c>
      <c r="K28" s="44">
        <f>ROUND(F28*H28*0.1,2)</f>
        <v>600</v>
      </c>
      <c r="L28" s="44">
        <f>ROUND(F28*H28*0.1,2)</f>
        <v>600</v>
      </c>
      <c r="M28" s="44">
        <f t="shared" si="26"/>
        <v>3000</v>
      </c>
      <c r="N28" s="44">
        <v>2400</v>
      </c>
      <c r="O28" s="44">
        <v>300</v>
      </c>
      <c r="P28" s="44">
        <v>300</v>
      </c>
      <c r="Q28" s="44">
        <f t="shared" si="27"/>
        <v>3000</v>
      </c>
      <c r="R28" s="50">
        <f aca="true" t="shared" si="46" ref="R28:T28">J28-N28</f>
        <v>2400</v>
      </c>
      <c r="S28" s="50">
        <f t="shared" si="46"/>
        <v>300</v>
      </c>
      <c r="T28" s="50">
        <f t="shared" si="46"/>
        <v>300</v>
      </c>
      <c r="HT28" s="31"/>
      <c r="HU28" s="31"/>
      <c r="HV28" s="31"/>
      <c r="HW28" s="31"/>
    </row>
    <row r="29" spans="2:20" s="3" customFormat="1" ht="19.5" customHeight="1">
      <c r="B29" s="47" t="s">
        <v>40</v>
      </c>
      <c r="C29" s="49">
        <v>26</v>
      </c>
      <c r="D29" s="44">
        <v>100</v>
      </c>
      <c r="E29" s="43">
        <f aca="true" t="shared" si="47" ref="E29:E31">D29</f>
        <v>100</v>
      </c>
      <c r="F29" s="44"/>
      <c r="G29" s="44"/>
      <c r="H29" s="44">
        <v>650</v>
      </c>
      <c r="I29" s="44">
        <f t="shared" si="22"/>
        <v>65000</v>
      </c>
      <c r="J29" s="44">
        <f aca="true" t="shared" si="48" ref="J29:J31">ROUND(E29*H29*0.8,2)</f>
        <v>52000</v>
      </c>
      <c r="K29" s="44">
        <f aca="true" t="shared" si="49" ref="K29:K31">ROUND(E29*H29*0.1,2)</f>
        <v>6500</v>
      </c>
      <c r="L29" s="44">
        <f aca="true" t="shared" si="50" ref="L29:L31">ROUND(E29*H29*0.1,2)</f>
        <v>6500</v>
      </c>
      <c r="M29" s="44">
        <f t="shared" si="26"/>
        <v>32500</v>
      </c>
      <c r="N29" s="44">
        <v>26000</v>
      </c>
      <c r="O29" s="44">
        <v>3250</v>
      </c>
      <c r="P29" s="44">
        <v>3250</v>
      </c>
      <c r="Q29" s="44">
        <f t="shared" si="27"/>
        <v>32500</v>
      </c>
      <c r="R29" s="50">
        <f aca="true" t="shared" si="51" ref="R29:T29">J29-N29</f>
        <v>26000</v>
      </c>
      <c r="S29" s="50">
        <f t="shared" si="51"/>
        <v>3250</v>
      </c>
      <c r="T29" s="50">
        <f t="shared" si="51"/>
        <v>3250</v>
      </c>
    </row>
    <row r="30" spans="2:20" s="3" customFormat="1" ht="19.5" customHeight="1">
      <c r="B30" s="47" t="s">
        <v>41</v>
      </c>
      <c r="C30" s="49">
        <v>32</v>
      </c>
      <c r="D30" s="44">
        <v>100</v>
      </c>
      <c r="E30" s="43">
        <f t="shared" si="47"/>
        <v>100</v>
      </c>
      <c r="F30" s="44"/>
      <c r="G30" s="44"/>
      <c r="H30" s="44">
        <v>650</v>
      </c>
      <c r="I30" s="44">
        <f t="shared" si="22"/>
        <v>65000</v>
      </c>
      <c r="J30" s="44">
        <f t="shared" si="48"/>
        <v>52000</v>
      </c>
      <c r="K30" s="44">
        <f t="shared" si="49"/>
        <v>6500</v>
      </c>
      <c r="L30" s="44">
        <f t="shared" si="50"/>
        <v>6500</v>
      </c>
      <c r="M30" s="44">
        <f t="shared" si="26"/>
        <v>32500</v>
      </c>
      <c r="N30" s="44">
        <v>26000</v>
      </c>
      <c r="O30" s="44">
        <v>3250</v>
      </c>
      <c r="P30" s="44">
        <v>3250</v>
      </c>
      <c r="Q30" s="44">
        <f t="shared" si="27"/>
        <v>32500</v>
      </c>
      <c r="R30" s="50">
        <f aca="true" t="shared" si="52" ref="R30:T30">J30-N30</f>
        <v>26000</v>
      </c>
      <c r="S30" s="50">
        <f t="shared" si="52"/>
        <v>3250</v>
      </c>
      <c r="T30" s="50">
        <f t="shared" si="52"/>
        <v>3250</v>
      </c>
    </row>
    <row r="31" spans="2:20" s="3" customFormat="1" ht="19.5" customHeight="1">
      <c r="B31" s="47" t="s">
        <v>42</v>
      </c>
      <c r="C31" s="49">
        <v>9</v>
      </c>
      <c r="D31" s="44">
        <v>100</v>
      </c>
      <c r="E31" s="43">
        <f t="shared" si="47"/>
        <v>100</v>
      </c>
      <c r="F31" s="44"/>
      <c r="G31" s="44"/>
      <c r="H31" s="44">
        <v>650</v>
      </c>
      <c r="I31" s="44">
        <f t="shared" si="22"/>
        <v>65000</v>
      </c>
      <c r="J31" s="44">
        <f t="shared" si="48"/>
        <v>52000</v>
      </c>
      <c r="K31" s="44">
        <f t="shared" si="49"/>
        <v>6500</v>
      </c>
      <c r="L31" s="44">
        <f t="shared" si="50"/>
        <v>6500</v>
      </c>
      <c r="M31" s="44">
        <f t="shared" si="26"/>
        <v>32500</v>
      </c>
      <c r="N31" s="44">
        <v>26000</v>
      </c>
      <c r="O31" s="44">
        <v>3250</v>
      </c>
      <c r="P31" s="44">
        <v>3250</v>
      </c>
      <c r="Q31" s="44">
        <f t="shared" si="27"/>
        <v>32500</v>
      </c>
      <c r="R31" s="50">
        <f aca="true" t="shared" si="53" ref="R31:T31">J31-N31</f>
        <v>26000</v>
      </c>
      <c r="S31" s="50">
        <f t="shared" si="53"/>
        <v>3250</v>
      </c>
      <c r="T31" s="50">
        <f t="shared" si="53"/>
        <v>3250</v>
      </c>
    </row>
    <row r="32" spans="2:20" s="27" customFormat="1" ht="19.5" customHeight="1">
      <c r="B32" s="51" t="s">
        <v>43</v>
      </c>
      <c r="C32" s="52">
        <f aca="true" t="shared" si="54" ref="C32:G32">SUM(C33:C44)</f>
        <v>696</v>
      </c>
      <c r="D32" s="52">
        <f t="shared" si="54"/>
        <v>1255</v>
      </c>
      <c r="E32" s="52">
        <f t="shared" si="54"/>
        <v>1245</v>
      </c>
      <c r="F32" s="52">
        <f t="shared" si="54"/>
        <v>7</v>
      </c>
      <c r="G32" s="52">
        <f t="shared" si="54"/>
        <v>3</v>
      </c>
      <c r="H32" s="52"/>
      <c r="I32" s="52">
        <f aca="true" t="shared" si="55" ref="I32:T32">SUM(I33:I44)</f>
        <v>874275</v>
      </c>
      <c r="J32" s="52">
        <f t="shared" si="55"/>
        <v>699420</v>
      </c>
      <c r="K32" s="52">
        <f t="shared" si="55"/>
        <v>87427.5</v>
      </c>
      <c r="L32" s="52">
        <f t="shared" si="55"/>
        <v>87427.5</v>
      </c>
      <c r="M32" s="52">
        <f t="shared" si="55"/>
        <v>446650</v>
      </c>
      <c r="N32" s="52">
        <f t="shared" si="55"/>
        <v>357320</v>
      </c>
      <c r="O32" s="52">
        <f t="shared" si="55"/>
        <v>44665</v>
      </c>
      <c r="P32" s="52">
        <f t="shared" si="55"/>
        <v>44665</v>
      </c>
      <c r="Q32" s="52">
        <f t="shared" si="55"/>
        <v>427625</v>
      </c>
      <c r="R32" s="52">
        <f t="shared" si="55"/>
        <v>342100</v>
      </c>
      <c r="S32" s="52">
        <f t="shared" si="55"/>
        <v>42762.5</v>
      </c>
      <c r="T32" s="52">
        <f t="shared" si="55"/>
        <v>42762.5</v>
      </c>
    </row>
    <row r="33" spans="2:20" s="3" customFormat="1" ht="19.5" customHeight="1">
      <c r="B33" s="53" t="s">
        <v>44</v>
      </c>
      <c r="C33" s="54">
        <v>552</v>
      </c>
      <c r="D33" s="54">
        <v>545</v>
      </c>
      <c r="E33" s="43">
        <v>545</v>
      </c>
      <c r="F33" s="54"/>
      <c r="G33" s="44"/>
      <c r="H33" s="44">
        <v>650</v>
      </c>
      <c r="I33" s="44">
        <f aca="true" t="shared" si="56" ref="I33:I44">SUM(J33:L33)</f>
        <v>359275</v>
      </c>
      <c r="J33" s="44">
        <f>302640-15220</f>
        <v>287420</v>
      </c>
      <c r="K33" s="44">
        <f>37830-1902.5</f>
        <v>35927.5</v>
      </c>
      <c r="L33" s="44">
        <f>37830-1902.5</f>
        <v>35927.5</v>
      </c>
      <c r="M33" s="44">
        <f aca="true" t="shared" si="57" ref="M33:M44">SUM(N33:P33)</f>
        <v>189150</v>
      </c>
      <c r="N33" s="44">
        <v>151320</v>
      </c>
      <c r="O33" s="44">
        <v>18915</v>
      </c>
      <c r="P33" s="44">
        <v>18915</v>
      </c>
      <c r="Q33" s="44">
        <f aca="true" t="shared" si="58" ref="Q33:Q44">SUM(R33:T33)</f>
        <v>170125</v>
      </c>
      <c r="R33" s="50">
        <f aca="true" t="shared" si="59" ref="R33:T33">J33-N33</f>
        <v>136100</v>
      </c>
      <c r="S33" s="50">
        <f t="shared" si="59"/>
        <v>17012.5</v>
      </c>
      <c r="T33" s="50">
        <f t="shared" si="59"/>
        <v>17012.5</v>
      </c>
    </row>
    <row r="34" spans="2:231" s="3" customFormat="1" ht="19.5" customHeight="1">
      <c r="B34" s="53" t="s">
        <v>45</v>
      </c>
      <c r="C34" s="54"/>
      <c r="D34" s="54">
        <v>3</v>
      </c>
      <c r="E34" s="43"/>
      <c r="F34" s="54"/>
      <c r="G34" s="44">
        <v>3</v>
      </c>
      <c r="H34" s="44">
        <v>6000</v>
      </c>
      <c r="I34" s="44">
        <f t="shared" si="56"/>
        <v>18000</v>
      </c>
      <c r="J34" s="44">
        <v>14400</v>
      </c>
      <c r="K34" s="44">
        <v>1800</v>
      </c>
      <c r="L34" s="44">
        <v>1800</v>
      </c>
      <c r="M34" s="44">
        <f t="shared" si="57"/>
        <v>9000</v>
      </c>
      <c r="N34" s="44">
        <v>7200</v>
      </c>
      <c r="O34" s="44">
        <v>900</v>
      </c>
      <c r="P34" s="44">
        <v>900</v>
      </c>
      <c r="Q34" s="44">
        <f t="shared" si="58"/>
        <v>9000</v>
      </c>
      <c r="R34" s="50">
        <f aca="true" t="shared" si="60" ref="R34:T34">J34-N34</f>
        <v>7200</v>
      </c>
      <c r="S34" s="50">
        <f t="shared" si="60"/>
        <v>900</v>
      </c>
      <c r="T34" s="50">
        <f t="shared" si="60"/>
        <v>900</v>
      </c>
      <c r="HT34" s="31"/>
      <c r="HU34" s="31"/>
      <c r="HV34" s="31"/>
      <c r="HW34" s="31"/>
    </row>
    <row r="35" spans="2:231" s="3" customFormat="1" ht="19.5" customHeight="1">
      <c r="B35" s="53" t="s">
        <v>46</v>
      </c>
      <c r="C35" s="54"/>
      <c r="D35" s="54">
        <v>5</v>
      </c>
      <c r="E35" s="43"/>
      <c r="F35" s="43">
        <v>5</v>
      </c>
      <c r="G35" s="44"/>
      <c r="H35" s="44">
        <v>6000</v>
      </c>
      <c r="I35" s="44">
        <f t="shared" si="56"/>
        <v>30000</v>
      </c>
      <c r="J35" s="44">
        <v>24000</v>
      </c>
      <c r="K35" s="44">
        <v>3000</v>
      </c>
      <c r="L35" s="44">
        <v>3000</v>
      </c>
      <c r="M35" s="44">
        <f t="shared" si="57"/>
        <v>15000</v>
      </c>
      <c r="N35" s="44">
        <v>12000</v>
      </c>
      <c r="O35" s="44">
        <v>1500</v>
      </c>
      <c r="P35" s="44">
        <v>1500</v>
      </c>
      <c r="Q35" s="44">
        <f t="shared" si="58"/>
        <v>15000</v>
      </c>
      <c r="R35" s="50">
        <f aca="true" t="shared" si="61" ref="R35:T35">J35-N35</f>
        <v>12000</v>
      </c>
      <c r="S35" s="50">
        <f t="shared" si="61"/>
        <v>1500</v>
      </c>
      <c r="T35" s="50">
        <f t="shared" si="61"/>
        <v>1500</v>
      </c>
      <c r="HT35" s="31"/>
      <c r="HU35" s="31"/>
      <c r="HV35" s="31"/>
      <c r="HW35" s="31"/>
    </row>
    <row r="36" spans="2:20" s="3" customFormat="1" ht="19.5" customHeight="1">
      <c r="B36" s="53" t="s">
        <v>47</v>
      </c>
      <c r="C36" s="54">
        <v>37</v>
      </c>
      <c r="D36" s="44">
        <v>100</v>
      </c>
      <c r="E36" s="43">
        <v>100</v>
      </c>
      <c r="F36" s="44"/>
      <c r="G36" s="44"/>
      <c r="H36" s="44">
        <v>650</v>
      </c>
      <c r="I36" s="44">
        <f t="shared" si="56"/>
        <v>65000</v>
      </c>
      <c r="J36" s="44">
        <v>52000</v>
      </c>
      <c r="K36" s="44">
        <v>6500</v>
      </c>
      <c r="L36" s="44">
        <v>6500</v>
      </c>
      <c r="M36" s="44">
        <f t="shared" si="57"/>
        <v>32500</v>
      </c>
      <c r="N36" s="44">
        <v>26000</v>
      </c>
      <c r="O36" s="44">
        <v>3250</v>
      </c>
      <c r="P36" s="44">
        <v>3250</v>
      </c>
      <c r="Q36" s="44">
        <f t="shared" si="58"/>
        <v>32500</v>
      </c>
      <c r="R36" s="50">
        <f aca="true" t="shared" si="62" ref="R36:T36">J36-N36</f>
        <v>26000</v>
      </c>
      <c r="S36" s="50">
        <f t="shared" si="62"/>
        <v>3250</v>
      </c>
      <c r="T36" s="50">
        <f t="shared" si="62"/>
        <v>3250</v>
      </c>
    </row>
    <row r="37" spans="2:20" s="3" customFormat="1" ht="19.5" customHeight="1">
      <c r="B37" s="53" t="s">
        <v>48</v>
      </c>
      <c r="C37" s="54">
        <v>25</v>
      </c>
      <c r="D37" s="44">
        <v>100</v>
      </c>
      <c r="E37" s="43">
        <v>100</v>
      </c>
      <c r="F37" s="44"/>
      <c r="G37" s="44"/>
      <c r="H37" s="44">
        <v>650</v>
      </c>
      <c r="I37" s="44">
        <f t="shared" si="56"/>
        <v>65000</v>
      </c>
      <c r="J37" s="44">
        <v>52000</v>
      </c>
      <c r="K37" s="44">
        <v>6500</v>
      </c>
      <c r="L37" s="44">
        <v>6500</v>
      </c>
      <c r="M37" s="44">
        <f t="shared" si="57"/>
        <v>32500</v>
      </c>
      <c r="N37" s="44">
        <v>26000</v>
      </c>
      <c r="O37" s="44">
        <v>3250</v>
      </c>
      <c r="P37" s="44">
        <v>3250</v>
      </c>
      <c r="Q37" s="44">
        <f t="shared" si="58"/>
        <v>32500</v>
      </c>
      <c r="R37" s="50">
        <f aca="true" t="shared" si="63" ref="R37:T37">J37-N37</f>
        <v>26000</v>
      </c>
      <c r="S37" s="50">
        <f t="shared" si="63"/>
        <v>3250</v>
      </c>
      <c r="T37" s="50">
        <f t="shared" si="63"/>
        <v>3250</v>
      </c>
    </row>
    <row r="38" spans="2:20" s="3" customFormat="1" ht="19.5" customHeight="1">
      <c r="B38" s="53" t="s">
        <v>49</v>
      </c>
      <c r="C38" s="54">
        <v>17</v>
      </c>
      <c r="D38" s="44">
        <v>100</v>
      </c>
      <c r="E38" s="43">
        <v>100</v>
      </c>
      <c r="F38" s="44"/>
      <c r="G38" s="44"/>
      <c r="H38" s="44">
        <v>650</v>
      </c>
      <c r="I38" s="44">
        <f t="shared" si="56"/>
        <v>65000</v>
      </c>
      <c r="J38" s="44">
        <v>52000</v>
      </c>
      <c r="K38" s="44">
        <v>6500</v>
      </c>
      <c r="L38" s="44">
        <v>6500</v>
      </c>
      <c r="M38" s="44">
        <f t="shared" si="57"/>
        <v>32500</v>
      </c>
      <c r="N38" s="44">
        <v>26000</v>
      </c>
      <c r="O38" s="44">
        <v>3250</v>
      </c>
      <c r="P38" s="44">
        <v>3250</v>
      </c>
      <c r="Q38" s="44">
        <f t="shared" si="58"/>
        <v>32500</v>
      </c>
      <c r="R38" s="50">
        <f aca="true" t="shared" si="64" ref="R38:T38">J38-N38</f>
        <v>26000</v>
      </c>
      <c r="S38" s="50">
        <f t="shared" si="64"/>
        <v>3250</v>
      </c>
      <c r="T38" s="50">
        <f t="shared" si="64"/>
        <v>3250</v>
      </c>
    </row>
    <row r="39" spans="2:20" s="3" customFormat="1" ht="19.5" customHeight="1">
      <c r="B39" s="53" t="s">
        <v>50</v>
      </c>
      <c r="C39" s="54">
        <v>13</v>
      </c>
      <c r="D39" s="44">
        <v>100</v>
      </c>
      <c r="E39" s="43">
        <v>100</v>
      </c>
      <c r="F39" s="44"/>
      <c r="G39" s="44"/>
      <c r="H39" s="44">
        <v>650</v>
      </c>
      <c r="I39" s="44">
        <f t="shared" si="56"/>
        <v>65000</v>
      </c>
      <c r="J39" s="44">
        <v>52000</v>
      </c>
      <c r="K39" s="44">
        <v>6500</v>
      </c>
      <c r="L39" s="44">
        <v>6500</v>
      </c>
      <c r="M39" s="44">
        <f t="shared" si="57"/>
        <v>32500</v>
      </c>
      <c r="N39" s="44">
        <v>26000</v>
      </c>
      <c r="O39" s="44">
        <v>3250</v>
      </c>
      <c r="P39" s="44">
        <v>3250</v>
      </c>
      <c r="Q39" s="44">
        <f t="shared" si="58"/>
        <v>32500</v>
      </c>
      <c r="R39" s="50">
        <f aca="true" t="shared" si="65" ref="R39:T39">J39-N39</f>
        <v>26000</v>
      </c>
      <c r="S39" s="50">
        <f t="shared" si="65"/>
        <v>3250</v>
      </c>
      <c r="T39" s="50">
        <f t="shared" si="65"/>
        <v>3250</v>
      </c>
    </row>
    <row r="40" spans="2:231" s="3" customFormat="1" ht="19.5" customHeight="1">
      <c r="B40" s="53" t="s">
        <v>51</v>
      </c>
      <c r="C40" s="54"/>
      <c r="D40" s="44">
        <v>1</v>
      </c>
      <c r="E40" s="43"/>
      <c r="F40" s="43">
        <v>1</v>
      </c>
      <c r="G40" s="44"/>
      <c r="H40" s="44">
        <v>6000</v>
      </c>
      <c r="I40" s="44">
        <f t="shared" si="56"/>
        <v>6000</v>
      </c>
      <c r="J40" s="44">
        <v>4800</v>
      </c>
      <c r="K40" s="44">
        <v>600</v>
      </c>
      <c r="L40" s="44">
        <v>600</v>
      </c>
      <c r="M40" s="44">
        <f t="shared" si="57"/>
        <v>3000</v>
      </c>
      <c r="N40" s="44">
        <v>2400</v>
      </c>
      <c r="O40" s="44">
        <v>300</v>
      </c>
      <c r="P40" s="44">
        <v>300</v>
      </c>
      <c r="Q40" s="44">
        <f t="shared" si="58"/>
        <v>3000</v>
      </c>
      <c r="R40" s="50">
        <f aca="true" t="shared" si="66" ref="R40:T40">J40-N40</f>
        <v>2400</v>
      </c>
      <c r="S40" s="50">
        <f t="shared" si="66"/>
        <v>300</v>
      </c>
      <c r="T40" s="50">
        <f t="shared" si="66"/>
        <v>300</v>
      </c>
      <c r="HT40" s="31"/>
      <c r="HU40" s="31"/>
      <c r="HV40" s="31"/>
      <c r="HW40" s="31"/>
    </row>
    <row r="41" spans="2:20" s="3" customFormat="1" ht="19.5" customHeight="1">
      <c r="B41" s="53" t="s">
        <v>52</v>
      </c>
      <c r="C41" s="54">
        <v>4</v>
      </c>
      <c r="D41" s="44">
        <v>100</v>
      </c>
      <c r="E41" s="43">
        <v>100</v>
      </c>
      <c r="F41" s="44"/>
      <c r="G41" s="44"/>
      <c r="H41" s="44">
        <v>650</v>
      </c>
      <c r="I41" s="44">
        <f t="shared" si="56"/>
        <v>65000</v>
      </c>
      <c r="J41" s="44">
        <v>52000</v>
      </c>
      <c r="K41" s="44">
        <v>6500</v>
      </c>
      <c r="L41" s="44">
        <v>6500</v>
      </c>
      <c r="M41" s="44">
        <f t="shared" si="57"/>
        <v>32500</v>
      </c>
      <c r="N41" s="44">
        <v>26000</v>
      </c>
      <c r="O41" s="44">
        <v>3250</v>
      </c>
      <c r="P41" s="44">
        <v>3250</v>
      </c>
      <c r="Q41" s="44">
        <f t="shared" si="58"/>
        <v>32500</v>
      </c>
      <c r="R41" s="50">
        <f aca="true" t="shared" si="67" ref="R41:T41">J41-N41</f>
        <v>26000</v>
      </c>
      <c r="S41" s="50">
        <f t="shared" si="67"/>
        <v>3250</v>
      </c>
      <c r="T41" s="50">
        <f t="shared" si="67"/>
        <v>3250</v>
      </c>
    </row>
    <row r="42" spans="2:231" s="3" customFormat="1" ht="19.5" customHeight="1">
      <c r="B42" s="53" t="s">
        <v>53</v>
      </c>
      <c r="C42" s="54"/>
      <c r="D42" s="44">
        <v>1</v>
      </c>
      <c r="E42" s="43"/>
      <c r="F42" s="44">
        <v>1</v>
      </c>
      <c r="G42" s="44"/>
      <c r="H42" s="44">
        <v>6000</v>
      </c>
      <c r="I42" s="44">
        <f t="shared" si="56"/>
        <v>6000</v>
      </c>
      <c r="J42" s="44">
        <v>4800</v>
      </c>
      <c r="K42" s="44">
        <v>600</v>
      </c>
      <c r="L42" s="44">
        <v>600</v>
      </c>
      <c r="M42" s="44">
        <f t="shared" si="57"/>
        <v>3000</v>
      </c>
      <c r="N42" s="44">
        <v>2400</v>
      </c>
      <c r="O42" s="44">
        <v>300</v>
      </c>
      <c r="P42" s="44">
        <v>300</v>
      </c>
      <c r="Q42" s="44">
        <f t="shared" si="58"/>
        <v>3000</v>
      </c>
      <c r="R42" s="50">
        <f aca="true" t="shared" si="68" ref="R42:T42">J42-N42</f>
        <v>2400</v>
      </c>
      <c r="S42" s="50">
        <f t="shared" si="68"/>
        <v>300</v>
      </c>
      <c r="T42" s="50">
        <f t="shared" si="68"/>
        <v>300</v>
      </c>
      <c r="HT42" s="31"/>
      <c r="HU42" s="31"/>
      <c r="HV42" s="31"/>
      <c r="HW42" s="31"/>
    </row>
    <row r="43" spans="2:20" s="3" customFormat="1" ht="19.5" customHeight="1">
      <c r="B43" s="53" t="s">
        <v>54</v>
      </c>
      <c r="C43" s="54">
        <v>4</v>
      </c>
      <c r="D43" s="44">
        <v>100</v>
      </c>
      <c r="E43" s="43">
        <v>100</v>
      </c>
      <c r="F43" s="44"/>
      <c r="G43" s="44"/>
      <c r="H43" s="44">
        <v>650</v>
      </c>
      <c r="I43" s="44">
        <f t="shared" si="56"/>
        <v>65000</v>
      </c>
      <c r="J43" s="44">
        <v>52000</v>
      </c>
      <c r="K43" s="44">
        <v>6500</v>
      </c>
      <c r="L43" s="44">
        <v>6500</v>
      </c>
      <c r="M43" s="44">
        <f t="shared" si="57"/>
        <v>32500</v>
      </c>
      <c r="N43" s="44">
        <v>26000</v>
      </c>
      <c r="O43" s="44">
        <v>3250</v>
      </c>
      <c r="P43" s="44">
        <v>3250</v>
      </c>
      <c r="Q43" s="44">
        <f t="shared" si="58"/>
        <v>32500</v>
      </c>
      <c r="R43" s="50">
        <f aca="true" t="shared" si="69" ref="R43:T43">J43-N43</f>
        <v>26000</v>
      </c>
      <c r="S43" s="50">
        <f t="shared" si="69"/>
        <v>3250</v>
      </c>
      <c r="T43" s="50">
        <f t="shared" si="69"/>
        <v>3250</v>
      </c>
    </row>
    <row r="44" spans="2:20" s="3" customFormat="1" ht="19.5" customHeight="1">
      <c r="B44" s="53" t="s">
        <v>55</v>
      </c>
      <c r="C44" s="54">
        <v>44</v>
      </c>
      <c r="D44" s="54">
        <v>100</v>
      </c>
      <c r="E44" s="43">
        <v>100</v>
      </c>
      <c r="F44" s="54"/>
      <c r="G44" s="44"/>
      <c r="H44" s="44">
        <v>650</v>
      </c>
      <c r="I44" s="44">
        <f t="shared" si="56"/>
        <v>65000</v>
      </c>
      <c r="J44" s="44">
        <v>52000</v>
      </c>
      <c r="K44" s="44">
        <v>6500</v>
      </c>
      <c r="L44" s="44">
        <v>6500</v>
      </c>
      <c r="M44" s="44">
        <f t="shared" si="57"/>
        <v>32500</v>
      </c>
      <c r="N44" s="44">
        <v>26000</v>
      </c>
      <c r="O44" s="44">
        <v>3250</v>
      </c>
      <c r="P44" s="44">
        <v>3250</v>
      </c>
      <c r="Q44" s="44">
        <f t="shared" si="58"/>
        <v>32500</v>
      </c>
      <c r="R44" s="50">
        <f aca="true" t="shared" si="70" ref="R44:T44">J44-N44</f>
        <v>26000</v>
      </c>
      <c r="S44" s="50">
        <f t="shared" si="70"/>
        <v>3250</v>
      </c>
      <c r="T44" s="50">
        <f t="shared" si="70"/>
        <v>3250</v>
      </c>
    </row>
    <row r="45" spans="2:20" s="27" customFormat="1" ht="19.5" customHeight="1">
      <c r="B45" s="51" t="s">
        <v>56</v>
      </c>
      <c r="C45" s="52">
        <f aca="true" t="shared" si="71" ref="C45:G45">SUM(C46:C55)</f>
        <v>831</v>
      </c>
      <c r="D45" s="52">
        <f t="shared" si="71"/>
        <v>1349</v>
      </c>
      <c r="E45" s="52">
        <f t="shared" si="71"/>
        <v>1347</v>
      </c>
      <c r="F45" s="52">
        <f t="shared" si="71"/>
        <v>1</v>
      </c>
      <c r="G45" s="52">
        <f t="shared" si="71"/>
        <v>1</v>
      </c>
      <c r="H45" s="52"/>
      <c r="I45" s="52">
        <f aca="true" t="shared" si="72" ref="I45:T45">SUM(I46:I55)</f>
        <v>887550</v>
      </c>
      <c r="J45" s="52">
        <f t="shared" si="72"/>
        <v>710040</v>
      </c>
      <c r="K45" s="52">
        <f t="shared" si="72"/>
        <v>88755</v>
      </c>
      <c r="L45" s="52">
        <f t="shared" si="72"/>
        <v>88755</v>
      </c>
      <c r="M45" s="52">
        <f t="shared" si="72"/>
        <v>443775</v>
      </c>
      <c r="N45" s="52">
        <f t="shared" si="72"/>
        <v>355020</v>
      </c>
      <c r="O45" s="52">
        <f t="shared" si="72"/>
        <v>44377.5</v>
      </c>
      <c r="P45" s="52">
        <f t="shared" si="72"/>
        <v>44377.5</v>
      </c>
      <c r="Q45" s="52">
        <f t="shared" si="72"/>
        <v>443775</v>
      </c>
      <c r="R45" s="52">
        <f t="shared" si="72"/>
        <v>355020</v>
      </c>
      <c r="S45" s="52">
        <f t="shared" si="72"/>
        <v>44377.5</v>
      </c>
      <c r="T45" s="52">
        <f t="shared" si="72"/>
        <v>44377.5</v>
      </c>
    </row>
    <row r="46" spans="2:20" s="3" customFormat="1" ht="19.5" customHeight="1">
      <c r="B46" s="55" t="s">
        <v>57</v>
      </c>
      <c r="C46" s="56">
        <v>649</v>
      </c>
      <c r="D46" s="56">
        <v>647</v>
      </c>
      <c r="E46" s="43">
        <v>647</v>
      </c>
      <c r="F46" s="56"/>
      <c r="G46" s="44"/>
      <c r="H46" s="44">
        <v>650</v>
      </c>
      <c r="I46" s="44">
        <f aca="true" t="shared" si="73" ref="I46:I55">SUM(J46:L46)</f>
        <v>420550</v>
      </c>
      <c r="J46" s="44">
        <f aca="true" t="shared" si="74" ref="J46:J55">ROUND(E46*H46*0.8,2)</f>
        <v>336440</v>
      </c>
      <c r="K46" s="44">
        <f aca="true" t="shared" si="75" ref="K46:K55">ROUND(E46*H46*0.1,2)</f>
        <v>42055</v>
      </c>
      <c r="L46" s="44">
        <f aca="true" t="shared" si="76" ref="L46:L55">ROUND(E46*H46*0.1,2)</f>
        <v>42055</v>
      </c>
      <c r="M46" s="44">
        <f aca="true" t="shared" si="77" ref="M46:M55">SUM(N46:P46)</f>
        <v>210275</v>
      </c>
      <c r="N46" s="44">
        <v>168220</v>
      </c>
      <c r="O46" s="44">
        <v>21027.5</v>
      </c>
      <c r="P46" s="44">
        <v>21027.5</v>
      </c>
      <c r="Q46" s="44">
        <f aca="true" t="shared" si="78" ref="Q46:Q55">SUM(R46:T46)</f>
        <v>210275</v>
      </c>
      <c r="R46" s="50">
        <f aca="true" t="shared" si="79" ref="R46:T46">J46-N46</f>
        <v>168220</v>
      </c>
      <c r="S46" s="50">
        <f t="shared" si="79"/>
        <v>21027.5</v>
      </c>
      <c r="T46" s="50">
        <f t="shared" si="79"/>
        <v>21027.5</v>
      </c>
    </row>
    <row r="47" spans="2:231" s="3" customFormat="1" ht="19.5" customHeight="1">
      <c r="B47" s="55" t="s">
        <v>58</v>
      </c>
      <c r="C47" s="56"/>
      <c r="D47" s="56">
        <v>1</v>
      </c>
      <c r="E47" s="43"/>
      <c r="F47" s="43">
        <v>1</v>
      </c>
      <c r="G47" s="44"/>
      <c r="H47" s="44">
        <v>6000</v>
      </c>
      <c r="I47" s="44">
        <f t="shared" si="73"/>
        <v>6000</v>
      </c>
      <c r="J47" s="44">
        <f>ROUND(F47*H47*0.8,2)</f>
        <v>4800</v>
      </c>
      <c r="K47" s="44">
        <f>ROUND(F47*H47*0.1,2)</f>
        <v>600</v>
      </c>
      <c r="L47" s="44">
        <f>ROUND(F47*H47*0.1,2)</f>
        <v>600</v>
      </c>
      <c r="M47" s="44">
        <f t="shared" si="77"/>
        <v>3000</v>
      </c>
      <c r="N47" s="44">
        <v>2400</v>
      </c>
      <c r="O47" s="44">
        <v>300</v>
      </c>
      <c r="P47" s="44">
        <v>300</v>
      </c>
      <c r="Q47" s="44">
        <f t="shared" si="78"/>
        <v>3000</v>
      </c>
      <c r="R47" s="50">
        <f aca="true" t="shared" si="80" ref="R47:T47">J47-N47</f>
        <v>2400</v>
      </c>
      <c r="S47" s="50">
        <f t="shared" si="80"/>
        <v>300</v>
      </c>
      <c r="T47" s="50">
        <f t="shared" si="80"/>
        <v>300</v>
      </c>
      <c r="HT47" s="31"/>
      <c r="HU47" s="31"/>
      <c r="HV47" s="31"/>
      <c r="HW47" s="31"/>
    </row>
    <row r="48" spans="2:231" s="3" customFormat="1" ht="19.5" customHeight="1">
      <c r="B48" s="55" t="s">
        <v>59</v>
      </c>
      <c r="C48" s="56"/>
      <c r="D48" s="56">
        <v>1</v>
      </c>
      <c r="E48" s="43"/>
      <c r="F48" s="43"/>
      <c r="G48" s="44">
        <v>1</v>
      </c>
      <c r="H48" s="44">
        <v>6000</v>
      </c>
      <c r="I48" s="44">
        <f t="shared" si="73"/>
        <v>6000</v>
      </c>
      <c r="J48" s="44">
        <f>ROUND(G48*H48*0.8,2)</f>
        <v>4800</v>
      </c>
      <c r="K48" s="44">
        <f>ROUND(G48*H48*0.1,2)</f>
        <v>600</v>
      </c>
      <c r="L48" s="44">
        <f>ROUND(G48*H48*0.1,2)</f>
        <v>600</v>
      </c>
      <c r="M48" s="44">
        <f t="shared" si="77"/>
        <v>3000</v>
      </c>
      <c r="N48" s="44">
        <v>2400</v>
      </c>
      <c r="O48" s="44">
        <v>300</v>
      </c>
      <c r="P48" s="44">
        <v>300</v>
      </c>
      <c r="Q48" s="44">
        <f t="shared" si="78"/>
        <v>3000</v>
      </c>
      <c r="R48" s="50">
        <f aca="true" t="shared" si="81" ref="R48:T48">J48-N48</f>
        <v>2400</v>
      </c>
      <c r="S48" s="50">
        <f t="shared" si="81"/>
        <v>300</v>
      </c>
      <c r="T48" s="50">
        <f t="shared" si="81"/>
        <v>300</v>
      </c>
      <c r="HT48" s="31"/>
      <c r="HU48" s="31"/>
      <c r="HV48" s="31"/>
      <c r="HW48" s="31"/>
    </row>
    <row r="49" spans="2:20" s="3" customFormat="1" ht="19.5" customHeight="1">
      <c r="B49" s="55" t="s">
        <v>60</v>
      </c>
      <c r="C49" s="56">
        <v>24</v>
      </c>
      <c r="D49" s="44">
        <v>100</v>
      </c>
      <c r="E49" s="43">
        <f aca="true" t="shared" si="82" ref="E49:E55">D49</f>
        <v>100</v>
      </c>
      <c r="F49" s="44"/>
      <c r="G49" s="44"/>
      <c r="H49" s="44">
        <v>650</v>
      </c>
      <c r="I49" s="44">
        <f t="shared" si="73"/>
        <v>65000</v>
      </c>
      <c r="J49" s="44">
        <f t="shared" si="74"/>
        <v>52000</v>
      </c>
      <c r="K49" s="44">
        <f t="shared" si="75"/>
        <v>6500</v>
      </c>
      <c r="L49" s="44">
        <f t="shared" si="76"/>
        <v>6500</v>
      </c>
      <c r="M49" s="44">
        <f t="shared" si="77"/>
        <v>32500</v>
      </c>
      <c r="N49" s="44">
        <v>26000</v>
      </c>
      <c r="O49" s="44">
        <v>3250</v>
      </c>
      <c r="P49" s="44">
        <v>3250</v>
      </c>
      <c r="Q49" s="44">
        <f t="shared" si="78"/>
        <v>32500</v>
      </c>
      <c r="R49" s="50">
        <f aca="true" t="shared" si="83" ref="R49:T49">J49-N49</f>
        <v>26000</v>
      </c>
      <c r="S49" s="50">
        <f t="shared" si="83"/>
        <v>3250</v>
      </c>
      <c r="T49" s="50">
        <f t="shared" si="83"/>
        <v>3250</v>
      </c>
    </row>
    <row r="50" spans="2:20" s="3" customFormat="1" ht="19.5" customHeight="1">
      <c r="B50" s="55" t="s">
        <v>61</v>
      </c>
      <c r="C50" s="56">
        <v>26</v>
      </c>
      <c r="D50" s="44">
        <v>100</v>
      </c>
      <c r="E50" s="43">
        <f t="shared" si="82"/>
        <v>100</v>
      </c>
      <c r="F50" s="44"/>
      <c r="G50" s="44"/>
      <c r="H50" s="44">
        <v>650</v>
      </c>
      <c r="I50" s="44">
        <f t="shared" si="73"/>
        <v>65000</v>
      </c>
      <c r="J50" s="44">
        <f t="shared" si="74"/>
        <v>52000</v>
      </c>
      <c r="K50" s="44">
        <f t="shared" si="75"/>
        <v>6500</v>
      </c>
      <c r="L50" s="44">
        <f t="shared" si="76"/>
        <v>6500</v>
      </c>
      <c r="M50" s="44">
        <f t="shared" si="77"/>
        <v>32500</v>
      </c>
      <c r="N50" s="44">
        <v>26000</v>
      </c>
      <c r="O50" s="44">
        <v>3250</v>
      </c>
      <c r="P50" s="44">
        <v>3250</v>
      </c>
      <c r="Q50" s="44">
        <f t="shared" si="78"/>
        <v>32500</v>
      </c>
      <c r="R50" s="50">
        <f aca="true" t="shared" si="84" ref="R50:T50">J50-N50</f>
        <v>26000</v>
      </c>
      <c r="S50" s="50">
        <f t="shared" si="84"/>
        <v>3250</v>
      </c>
      <c r="T50" s="50">
        <f t="shared" si="84"/>
        <v>3250</v>
      </c>
    </row>
    <row r="51" spans="2:20" s="3" customFormat="1" ht="19.5" customHeight="1">
      <c r="B51" s="55" t="s">
        <v>62</v>
      </c>
      <c r="C51" s="56">
        <v>67</v>
      </c>
      <c r="D51" s="44">
        <v>100</v>
      </c>
      <c r="E51" s="43">
        <f t="shared" si="82"/>
        <v>100</v>
      </c>
      <c r="F51" s="44"/>
      <c r="G51" s="44"/>
      <c r="H51" s="44">
        <v>650</v>
      </c>
      <c r="I51" s="44">
        <f t="shared" si="73"/>
        <v>65000</v>
      </c>
      <c r="J51" s="44">
        <f t="shared" si="74"/>
        <v>52000</v>
      </c>
      <c r="K51" s="44">
        <f t="shared" si="75"/>
        <v>6500</v>
      </c>
      <c r="L51" s="44">
        <f t="shared" si="76"/>
        <v>6500</v>
      </c>
      <c r="M51" s="44">
        <f t="shared" si="77"/>
        <v>32500</v>
      </c>
      <c r="N51" s="44">
        <v>26000</v>
      </c>
      <c r="O51" s="44">
        <v>3250</v>
      </c>
      <c r="P51" s="44">
        <v>3250</v>
      </c>
      <c r="Q51" s="44">
        <f t="shared" si="78"/>
        <v>32500</v>
      </c>
      <c r="R51" s="50">
        <f aca="true" t="shared" si="85" ref="R51:T51">J51-N51</f>
        <v>26000</v>
      </c>
      <c r="S51" s="50">
        <f t="shared" si="85"/>
        <v>3250</v>
      </c>
      <c r="T51" s="50">
        <f t="shared" si="85"/>
        <v>3250</v>
      </c>
    </row>
    <row r="52" spans="2:20" s="3" customFormat="1" ht="19.5" customHeight="1">
      <c r="B52" s="55" t="s">
        <v>63</v>
      </c>
      <c r="C52" s="56">
        <v>14</v>
      </c>
      <c r="D52" s="44">
        <v>100</v>
      </c>
      <c r="E52" s="43">
        <f t="shared" si="82"/>
        <v>100</v>
      </c>
      <c r="F52" s="44"/>
      <c r="G52" s="44"/>
      <c r="H52" s="44">
        <v>650</v>
      </c>
      <c r="I52" s="44">
        <f t="shared" si="73"/>
        <v>65000</v>
      </c>
      <c r="J52" s="44">
        <f t="shared" si="74"/>
        <v>52000</v>
      </c>
      <c r="K52" s="44">
        <f t="shared" si="75"/>
        <v>6500</v>
      </c>
      <c r="L52" s="44">
        <f t="shared" si="76"/>
        <v>6500</v>
      </c>
      <c r="M52" s="44">
        <f t="shared" si="77"/>
        <v>32500</v>
      </c>
      <c r="N52" s="44">
        <v>26000</v>
      </c>
      <c r="O52" s="44">
        <v>3250</v>
      </c>
      <c r="P52" s="44">
        <v>3250</v>
      </c>
      <c r="Q52" s="44">
        <f t="shared" si="78"/>
        <v>32500</v>
      </c>
      <c r="R52" s="50">
        <f aca="true" t="shared" si="86" ref="R52:T52">J52-N52</f>
        <v>26000</v>
      </c>
      <c r="S52" s="50">
        <f t="shared" si="86"/>
        <v>3250</v>
      </c>
      <c r="T52" s="50">
        <f t="shared" si="86"/>
        <v>3250</v>
      </c>
    </row>
    <row r="53" spans="2:20" s="3" customFormat="1" ht="19.5" customHeight="1">
      <c r="B53" s="55" t="s">
        <v>64</v>
      </c>
      <c r="C53" s="56">
        <v>37</v>
      </c>
      <c r="D53" s="44">
        <v>100</v>
      </c>
      <c r="E53" s="43">
        <f t="shared" si="82"/>
        <v>100</v>
      </c>
      <c r="F53" s="44"/>
      <c r="G53" s="44"/>
      <c r="H53" s="44">
        <v>650</v>
      </c>
      <c r="I53" s="44">
        <f t="shared" si="73"/>
        <v>65000</v>
      </c>
      <c r="J53" s="44">
        <f t="shared" si="74"/>
        <v>52000</v>
      </c>
      <c r="K53" s="44">
        <f t="shared" si="75"/>
        <v>6500</v>
      </c>
      <c r="L53" s="44">
        <f t="shared" si="76"/>
        <v>6500</v>
      </c>
      <c r="M53" s="44">
        <f t="shared" si="77"/>
        <v>32500</v>
      </c>
      <c r="N53" s="44">
        <v>26000</v>
      </c>
      <c r="O53" s="44">
        <v>3250</v>
      </c>
      <c r="P53" s="44">
        <v>3250</v>
      </c>
      <c r="Q53" s="44">
        <f t="shared" si="78"/>
        <v>32500</v>
      </c>
      <c r="R53" s="50">
        <f aca="true" t="shared" si="87" ref="R53:T53">J53-N53</f>
        <v>26000</v>
      </c>
      <c r="S53" s="50">
        <f t="shared" si="87"/>
        <v>3250</v>
      </c>
      <c r="T53" s="50">
        <f t="shared" si="87"/>
        <v>3250</v>
      </c>
    </row>
    <row r="54" spans="2:20" s="3" customFormat="1" ht="19.5" customHeight="1">
      <c r="B54" s="55" t="s">
        <v>65</v>
      </c>
      <c r="C54" s="56">
        <v>8</v>
      </c>
      <c r="D54" s="44">
        <v>100</v>
      </c>
      <c r="E54" s="43">
        <f t="shared" si="82"/>
        <v>100</v>
      </c>
      <c r="F54" s="44"/>
      <c r="G54" s="44"/>
      <c r="H54" s="44">
        <v>650</v>
      </c>
      <c r="I54" s="44">
        <f t="shared" si="73"/>
        <v>65000</v>
      </c>
      <c r="J54" s="44">
        <f t="shared" si="74"/>
        <v>52000</v>
      </c>
      <c r="K54" s="44">
        <f t="shared" si="75"/>
        <v>6500</v>
      </c>
      <c r="L54" s="44">
        <f t="shared" si="76"/>
        <v>6500</v>
      </c>
      <c r="M54" s="44">
        <f t="shared" si="77"/>
        <v>32500</v>
      </c>
      <c r="N54" s="44">
        <v>26000</v>
      </c>
      <c r="O54" s="44">
        <v>3250</v>
      </c>
      <c r="P54" s="44">
        <v>3250</v>
      </c>
      <c r="Q54" s="44">
        <f t="shared" si="78"/>
        <v>32500</v>
      </c>
      <c r="R54" s="50">
        <f aca="true" t="shared" si="88" ref="R54:T54">J54-N54</f>
        <v>26000</v>
      </c>
      <c r="S54" s="50">
        <f t="shared" si="88"/>
        <v>3250</v>
      </c>
      <c r="T54" s="50">
        <f t="shared" si="88"/>
        <v>3250</v>
      </c>
    </row>
    <row r="55" spans="2:20" s="3" customFormat="1" ht="19.5" customHeight="1">
      <c r="B55" s="55" t="s">
        <v>66</v>
      </c>
      <c r="C55" s="56">
        <v>6</v>
      </c>
      <c r="D55" s="44">
        <v>100</v>
      </c>
      <c r="E55" s="43">
        <f t="shared" si="82"/>
        <v>100</v>
      </c>
      <c r="F55" s="44"/>
      <c r="G55" s="44"/>
      <c r="H55" s="44">
        <v>650</v>
      </c>
      <c r="I55" s="44">
        <f t="shared" si="73"/>
        <v>65000</v>
      </c>
      <c r="J55" s="44">
        <f t="shared" si="74"/>
        <v>52000</v>
      </c>
      <c r="K55" s="44">
        <f t="shared" si="75"/>
        <v>6500</v>
      </c>
      <c r="L55" s="44">
        <f t="shared" si="76"/>
        <v>6500</v>
      </c>
      <c r="M55" s="44">
        <f t="shared" si="77"/>
        <v>32500</v>
      </c>
      <c r="N55" s="44">
        <v>26000</v>
      </c>
      <c r="O55" s="44">
        <v>3250</v>
      </c>
      <c r="P55" s="44">
        <v>3250</v>
      </c>
      <c r="Q55" s="44">
        <f t="shared" si="78"/>
        <v>32500</v>
      </c>
      <c r="R55" s="50">
        <f aca="true" t="shared" si="89" ref="R55:T55">J55-N55</f>
        <v>26000</v>
      </c>
      <c r="S55" s="50">
        <f t="shared" si="89"/>
        <v>3250</v>
      </c>
      <c r="T55" s="50">
        <f t="shared" si="89"/>
        <v>3250</v>
      </c>
    </row>
    <row r="56" spans="2:20" s="27" customFormat="1" ht="19.5" customHeight="1">
      <c r="B56" s="51" t="s">
        <v>67</v>
      </c>
      <c r="C56" s="52">
        <f aca="true" t="shared" si="90" ref="C56:G56">SUM(C57:C75)</f>
        <v>2457</v>
      </c>
      <c r="D56" s="52">
        <f t="shared" si="90"/>
        <v>2896</v>
      </c>
      <c r="E56" s="52">
        <f t="shared" si="90"/>
        <v>2873</v>
      </c>
      <c r="F56" s="52">
        <f t="shared" si="90"/>
        <v>17</v>
      </c>
      <c r="G56" s="52">
        <f t="shared" si="90"/>
        <v>6</v>
      </c>
      <c r="H56" s="52"/>
      <c r="I56" s="52">
        <f aca="true" t="shared" si="91" ref="I56:T56">SUM(I57:I75)</f>
        <v>2001600</v>
      </c>
      <c r="J56" s="52">
        <f t="shared" si="91"/>
        <v>1601280</v>
      </c>
      <c r="K56" s="52">
        <f t="shared" si="91"/>
        <v>200160</v>
      </c>
      <c r="L56" s="52">
        <f t="shared" si="91"/>
        <v>200160</v>
      </c>
      <c r="M56" s="52">
        <f t="shared" si="91"/>
        <v>1011175</v>
      </c>
      <c r="N56" s="52">
        <f t="shared" si="91"/>
        <v>808940</v>
      </c>
      <c r="O56" s="52">
        <f t="shared" si="91"/>
        <v>101117.5</v>
      </c>
      <c r="P56" s="52">
        <f t="shared" si="91"/>
        <v>101117.5</v>
      </c>
      <c r="Q56" s="52">
        <f t="shared" si="91"/>
        <v>990425</v>
      </c>
      <c r="R56" s="52">
        <f t="shared" si="91"/>
        <v>792340</v>
      </c>
      <c r="S56" s="52">
        <f t="shared" si="91"/>
        <v>99042.5</v>
      </c>
      <c r="T56" s="52">
        <f t="shared" si="91"/>
        <v>99042.5</v>
      </c>
    </row>
    <row r="57" spans="2:20" s="3" customFormat="1" ht="19.5" customHeight="1">
      <c r="B57" s="57" t="s">
        <v>68</v>
      </c>
      <c r="C57" s="58">
        <v>1682</v>
      </c>
      <c r="D57" s="58">
        <v>1669</v>
      </c>
      <c r="E57" s="43">
        <v>1669</v>
      </c>
      <c r="F57" s="44"/>
      <c r="G57" s="44"/>
      <c r="H57" s="44">
        <v>650</v>
      </c>
      <c r="I57" s="44">
        <f aca="true" t="shared" si="92" ref="I57:I75">SUM(J57:L57)</f>
        <v>1072550</v>
      </c>
      <c r="J57" s="44">
        <f>874640-16600</f>
        <v>858040</v>
      </c>
      <c r="K57" s="44">
        <f>109330-2075</f>
        <v>107255</v>
      </c>
      <c r="L57" s="44">
        <f>109330-2075</f>
        <v>107255</v>
      </c>
      <c r="M57" s="44">
        <f aca="true" t="shared" si="93" ref="M57:M75">SUM(N57:P57)</f>
        <v>546650</v>
      </c>
      <c r="N57" s="44">
        <v>437320</v>
      </c>
      <c r="O57" s="44">
        <v>54665</v>
      </c>
      <c r="P57" s="44">
        <v>54665</v>
      </c>
      <c r="Q57" s="44">
        <f aca="true" t="shared" si="94" ref="Q57:Q75">SUM(R57:T57)</f>
        <v>525900</v>
      </c>
      <c r="R57" s="50">
        <f aca="true" t="shared" si="95" ref="R57:T57">J57-N57</f>
        <v>420720</v>
      </c>
      <c r="S57" s="50">
        <f t="shared" si="95"/>
        <v>52590</v>
      </c>
      <c r="T57" s="50">
        <f t="shared" si="95"/>
        <v>52590</v>
      </c>
    </row>
    <row r="58" spans="2:231" s="3" customFormat="1" ht="19.5" customHeight="1">
      <c r="B58" s="57" t="s">
        <v>69</v>
      </c>
      <c r="C58" s="58"/>
      <c r="D58" s="58">
        <v>6</v>
      </c>
      <c r="E58" s="59"/>
      <c r="F58" s="44"/>
      <c r="G58" s="44">
        <v>6</v>
      </c>
      <c r="H58" s="44">
        <v>6000</v>
      </c>
      <c r="I58" s="44">
        <f t="shared" si="92"/>
        <v>36000</v>
      </c>
      <c r="J58" s="44">
        <v>28800</v>
      </c>
      <c r="K58" s="44">
        <v>3600</v>
      </c>
      <c r="L58" s="44">
        <v>3600</v>
      </c>
      <c r="M58" s="44">
        <f t="shared" si="93"/>
        <v>18000</v>
      </c>
      <c r="N58" s="44">
        <v>14400</v>
      </c>
      <c r="O58" s="44">
        <v>1800</v>
      </c>
      <c r="P58" s="44">
        <v>1800</v>
      </c>
      <c r="Q58" s="44">
        <f t="shared" si="94"/>
        <v>18000</v>
      </c>
      <c r="R58" s="50">
        <f aca="true" t="shared" si="96" ref="R58:T58">J58-N58</f>
        <v>14400</v>
      </c>
      <c r="S58" s="50">
        <f t="shared" si="96"/>
        <v>1800</v>
      </c>
      <c r="T58" s="50">
        <f t="shared" si="96"/>
        <v>1800</v>
      </c>
      <c r="HT58" s="31"/>
      <c r="HU58" s="31"/>
      <c r="HV58" s="31"/>
      <c r="HW58" s="31"/>
    </row>
    <row r="59" spans="2:231" s="3" customFormat="1" ht="19.5" customHeight="1">
      <c r="B59" s="57" t="s">
        <v>70</v>
      </c>
      <c r="C59" s="58"/>
      <c r="D59" s="58">
        <v>8</v>
      </c>
      <c r="E59" s="43"/>
      <c r="F59" s="43">
        <v>8</v>
      </c>
      <c r="G59" s="44"/>
      <c r="H59" s="44">
        <v>6000</v>
      </c>
      <c r="I59" s="44">
        <f t="shared" si="92"/>
        <v>48000</v>
      </c>
      <c r="J59" s="44">
        <v>38400</v>
      </c>
      <c r="K59" s="44">
        <v>4800</v>
      </c>
      <c r="L59" s="44">
        <v>4800</v>
      </c>
      <c r="M59" s="44">
        <f t="shared" si="93"/>
        <v>24000</v>
      </c>
      <c r="N59" s="44">
        <v>19200</v>
      </c>
      <c r="O59" s="44">
        <v>2400</v>
      </c>
      <c r="P59" s="44">
        <v>2400</v>
      </c>
      <c r="Q59" s="44">
        <f t="shared" si="94"/>
        <v>24000</v>
      </c>
      <c r="R59" s="50">
        <f aca="true" t="shared" si="97" ref="R59:T59">J59-N59</f>
        <v>19200</v>
      </c>
      <c r="S59" s="50">
        <f t="shared" si="97"/>
        <v>2400</v>
      </c>
      <c r="T59" s="50">
        <f t="shared" si="97"/>
        <v>2400</v>
      </c>
      <c r="HT59" s="31"/>
      <c r="HU59" s="31"/>
      <c r="HV59" s="31"/>
      <c r="HW59" s="31"/>
    </row>
    <row r="60" spans="2:20" s="3" customFormat="1" ht="19.5" customHeight="1">
      <c r="B60" s="57" t="s">
        <v>71</v>
      </c>
      <c r="C60" s="58">
        <v>27</v>
      </c>
      <c r="D60" s="44">
        <v>100</v>
      </c>
      <c r="E60" s="43">
        <v>100</v>
      </c>
      <c r="F60" s="44"/>
      <c r="G60" s="44"/>
      <c r="H60" s="44">
        <v>650</v>
      </c>
      <c r="I60" s="44">
        <f t="shared" si="92"/>
        <v>65000</v>
      </c>
      <c r="J60" s="44">
        <v>52000</v>
      </c>
      <c r="K60" s="44">
        <v>6500</v>
      </c>
      <c r="L60" s="44">
        <v>6500</v>
      </c>
      <c r="M60" s="44">
        <f t="shared" si="93"/>
        <v>32500</v>
      </c>
      <c r="N60" s="44">
        <v>26000</v>
      </c>
      <c r="O60" s="44">
        <v>3250</v>
      </c>
      <c r="P60" s="44">
        <v>3250</v>
      </c>
      <c r="Q60" s="44">
        <f t="shared" si="94"/>
        <v>32500</v>
      </c>
      <c r="R60" s="50">
        <f aca="true" t="shared" si="98" ref="R60:T60">J60-N60</f>
        <v>26000</v>
      </c>
      <c r="S60" s="50">
        <f t="shared" si="98"/>
        <v>3250</v>
      </c>
      <c r="T60" s="50">
        <f t="shared" si="98"/>
        <v>3250</v>
      </c>
    </row>
    <row r="61" spans="2:20" s="3" customFormat="1" ht="19.5" customHeight="1">
      <c r="B61" s="57" t="s">
        <v>72</v>
      </c>
      <c r="C61" s="58">
        <v>199</v>
      </c>
      <c r="D61" s="58">
        <v>198</v>
      </c>
      <c r="E61" s="43">
        <v>198</v>
      </c>
      <c r="F61" s="58"/>
      <c r="G61" s="44"/>
      <c r="H61" s="44">
        <v>650</v>
      </c>
      <c r="I61" s="44">
        <f t="shared" si="92"/>
        <v>131950</v>
      </c>
      <c r="J61" s="44">
        <v>105560</v>
      </c>
      <c r="K61" s="44">
        <v>13195</v>
      </c>
      <c r="L61" s="44">
        <v>13195</v>
      </c>
      <c r="M61" s="44">
        <f t="shared" si="93"/>
        <v>65975</v>
      </c>
      <c r="N61" s="44">
        <v>52780</v>
      </c>
      <c r="O61" s="44">
        <v>6597.5</v>
      </c>
      <c r="P61" s="44">
        <v>6597.5</v>
      </c>
      <c r="Q61" s="44">
        <f t="shared" si="94"/>
        <v>65975</v>
      </c>
      <c r="R61" s="50">
        <f aca="true" t="shared" si="99" ref="R61:T61">J61-N61</f>
        <v>52780</v>
      </c>
      <c r="S61" s="50">
        <f t="shared" si="99"/>
        <v>6597.5</v>
      </c>
      <c r="T61" s="50">
        <f t="shared" si="99"/>
        <v>6597.5</v>
      </c>
    </row>
    <row r="62" spans="2:231" s="3" customFormat="1" ht="19.5" customHeight="1">
      <c r="B62" s="57" t="s">
        <v>73</v>
      </c>
      <c r="C62" s="58"/>
      <c r="D62" s="58">
        <v>1</v>
      </c>
      <c r="E62" s="43"/>
      <c r="F62" s="58">
        <v>1</v>
      </c>
      <c r="G62" s="44"/>
      <c r="H62" s="44">
        <v>6000</v>
      </c>
      <c r="I62" s="44">
        <f t="shared" si="92"/>
        <v>6000</v>
      </c>
      <c r="J62" s="44">
        <v>4800</v>
      </c>
      <c r="K62" s="44">
        <v>600</v>
      </c>
      <c r="L62" s="44">
        <v>600</v>
      </c>
      <c r="M62" s="44">
        <f t="shared" si="93"/>
        <v>3000</v>
      </c>
      <c r="N62" s="44">
        <v>2400</v>
      </c>
      <c r="O62" s="44">
        <v>300</v>
      </c>
      <c r="P62" s="44">
        <v>300</v>
      </c>
      <c r="Q62" s="44">
        <f t="shared" si="94"/>
        <v>3000</v>
      </c>
      <c r="R62" s="50">
        <f aca="true" t="shared" si="100" ref="R62:T62">J62-N62</f>
        <v>2400</v>
      </c>
      <c r="S62" s="50">
        <f t="shared" si="100"/>
        <v>300</v>
      </c>
      <c r="T62" s="50">
        <f t="shared" si="100"/>
        <v>300</v>
      </c>
      <c r="HT62" s="31"/>
      <c r="HU62" s="31"/>
      <c r="HV62" s="31"/>
      <c r="HW62" s="31"/>
    </row>
    <row r="63" spans="2:20" s="3" customFormat="1" ht="19.5" customHeight="1">
      <c r="B63" s="57" t="s">
        <v>74</v>
      </c>
      <c r="C63" s="58">
        <v>47</v>
      </c>
      <c r="D63" s="44">
        <v>100</v>
      </c>
      <c r="E63" s="43">
        <v>100</v>
      </c>
      <c r="F63" s="44"/>
      <c r="G63" s="44"/>
      <c r="H63" s="44">
        <v>650</v>
      </c>
      <c r="I63" s="44">
        <f t="shared" si="92"/>
        <v>65000</v>
      </c>
      <c r="J63" s="44">
        <v>52000</v>
      </c>
      <c r="K63" s="44">
        <v>6500</v>
      </c>
      <c r="L63" s="44">
        <v>6500</v>
      </c>
      <c r="M63" s="44">
        <f t="shared" si="93"/>
        <v>32500</v>
      </c>
      <c r="N63" s="44">
        <v>26000</v>
      </c>
      <c r="O63" s="44">
        <v>3250</v>
      </c>
      <c r="P63" s="44">
        <v>3250</v>
      </c>
      <c r="Q63" s="44">
        <f t="shared" si="94"/>
        <v>32500</v>
      </c>
      <c r="R63" s="50">
        <f aca="true" t="shared" si="101" ref="R63:T63">J63-N63</f>
        <v>26000</v>
      </c>
      <c r="S63" s="50">
        <f t="shared" si="101"/>
        <v>3250</v>
      </c>
      <c r="T63" s="50">
        <f t="shared" si="101"/>
        <v>3250</v>
      </c>
    </row>
    <row r="64" spans="2:20" s="3" customFormat="1" ht="19.5" customHeight="1">
      <c r="B64" s="57" t="s">
        <v>75</v>
      </c>
      <c r="C64" s="58">
        <v>153</v>
      </c>
      <c r="D64" s="58">
        <v>150</v>
      </c>
      <c r="E64" s="43">
        <v>150</v>
      </c>
      <c r="F64" s="58"/>
      <c r="G64" s="44"/>
      <c r="H64" s="44">
        <v>650</v>
      </c>
      <c r="I64" s="44">
        <f t="shared" si="92"/>
        <v>98150</v>
      </c>
      <c r="J64" s="44">
        <v>78520</v>
      </c>
      <c r="K64" s="44">
        <v>9815</v>
      </c>
      <c r="L64" s="44">
        <v>9815</v>
      </c>
      <c r="M64" s="44">
        <f t="shared" si="93"/>
        <v>49075</v>
      </c>
      <c r="N64" s="44">
        <v>39260</v>
      </c>
      <c r="O64" s="44">
        <v>4907.5</v>
      </c>
      <c r="P64" s="44">
        <v>4907.5</v>
      </c>
      <c r="Q64" s="44">
        <f t="shared" si="94"/>
        <v>49075</v>
      </c>
      <c r="R64" s="50">
        <f aca="true" t="shared" si="102" ref="R64:T64">J64-N64</f>
        <v>39260</v>
      </c>
      <c r="S64" s="50">
        <f t="shared" si="102"/>
        <v>4907.5</v>
      </c>
      <c r="T64" s="50">
        <f t="shared" si="102"/>
        <v>4907.5</v>
      </c>
    </row>
    <row r="65" spans="2:231" s="3" customFormat="1" ht="19.5" customHeight="1">
      <c r="B65" s="57" t="s">
        <v>76</v>
      </c>
      <c r="C65" s="58"/>
      <c r="D65" s="58">
        <v>3</v>
      </c>
      <c r="E65" s="43"/>
      <c r="F65" s="58">
        <v>3</v>
      </c>
      <c r="G65" s="44"/>
      <c r="H65" s="44">
        <v>6000</v>
      </c>
      <c r="I65" s="44">
        <f t="shared" si="92"/>
        <v>18000</v>
      </c>
      <c r="J65" s="44">
        <v>14400</v>
      </c>
      <c r="K65" s="44">
        <v>1800</v>
      </c>
      <c r="L65" s="44">
        <v>1800</v>
      </c>
      <c r="M65" s="44">
        <f t="shared" si="93"/>
        <v>9000</v>
      </c>
      <c r="N65" s="44">
        <v>7200</v>
      </c>
      <c r="O65" s="44">
        <v>900</v>
      </c>
      <c r="P65" s="44">
        <v>900</v>
      </c>
      <c r="Q65" s="44">
        <f t="shared" si="94"/>
        <v>9000</v>
      </c>
      <c r="R65" s="50">
        <f aca="true" t="shared" si="103" ref="R65:T65">J65-N65</f>
        <v>7200</v>
      </c>
      <c r="S65" s="50">
        <f t="shared" si="103"/>
        <v>900</v>
      </c>
      <c r="T65" s="50">
        <f t="shared" si="103"/>
        <v>900</v>
      </c>
      <c r="HT65" s="31"/>
      <c r="HU65" s="31"/>
      <c r="HV65" s="31"/>
      <c r="HW65" s="31"/>
    </row>
    <row r="66" spans="2:20" s="3" customFormat="1" ht="19.5" customHeight="1">
      <c r="B66" s="57" t="s">
        <v>77</v>
      </c>
      <c r="C66" s="58">
        <v>51</v>
      </c>
      <c r="D66" s="44">
        <v>100</v>
      </c>
      <c r="E66" s="43">
        <v>100</v>
      </c>
      <c r="F66" s="44"/>
      <c r="G66" s="44"/>
      <c r="H66" s="44">
        <v>650</v>
      </c>
      <c r="I66" s="44">
        <f t="shared" si="92"/>
        <v>65000</v>
      </c>
      <c r="J66" s="44">
        <v>52000</v>
      </c>
      <c r="K66" s="44">
        <v>6500</v>
      </c>
      <c r="L66" s="44">
        <v>6500</v>
      </c>
      <c r="M66" s="44">
        <f t="shared" si="93"/>
        <v>32500</v>
      </c>
      <c r="N66" s="44">
        <v>26000</v>
      </c>
      <c r="O66" s="44">
        <v>3250</v>
      </c>
      <c r="P66" s="44">
        <v>3250</v>
      </c>
      <c r="Q66" s="44">
        <f t="shared" si="94"/>
        <v>32500</v>
      </c>
      <c r="R66" s="50">
        <f aca="true" t="shared" si="104" ref="R66:T66">J66-N66</f>
        <v>26000</v>
      </c>
      <c r="S66" s="50">
        <f t="shared" si="104"/>
        <v>3250</v>
      </c>
      <c r="T66" s="50">
        <f t="shared" si="104"/>
        <v>3250</v>
      </c>
    </row>
    <row r="67" spans="2:20" s="3" customFormat="1" ht="19.5" customHeight="1">
      <c r="B67" s="57" t="s">
        <v>78</v>
      </c>
      <c r="C67" s="58">
        <v>157</v>
      </c>
      <c r="D67" s="58">
        <v>156</v>
      </c>
      <c r="E67" s="43">
        <v>156</v>
      </c>
      <c r="F67" s="58"/>
      <c r="G67" s="44"/>
      <c r="H67" s="44">
        <v>650</v>
      </c>
      <c r="I67" s="44">
        <f t="shared" si="92"/>
        <v>105950</v>
      </c>
      <c r="J67" s="44">
        <v>84760</v>
      </c>
      <c r="K67" s="44">
        <v>10595</v>
      </c>
      <c r="L67" s="44">
        <v>10595</v>
      </c>
      <c r="M67" s="44">
        <f t="shared" si="93"/>
        <v>52975</v>
      </c>
      <c r="N67" s="44">
        <v>42380</v>
      </c>
      <c r="O67" s="44">
        <v>5297.5</v>
      </c>
      <c r="P67" s="44">
        <v>5297.5</v>
      </c>
      <c r="Q67" s="44">
        <f t="shared" si="94"/>
        <v>52975</v>
      </c>
      <c r="R67" s="50">
        <f aca="true" t="shared" si="105" ref="R67:T67">J67-N67</f>
        <v>42380</v>
      </c>
      <c r="S67" s="50">
        <f t="shared" si="105"/>
        <v>5297.5</v>
      </c>
      <c r="T67" s="50">
        <f t="shared" si="105"/>
        <v>5297.5</v>
      </c>
    </row>
    <row r="68" spans="2:231" s="3" customFormat="1" ht="19.5" customHeight="1">
      <c r="B68" s="57" t="s">
        <v>79</v>
      </c>
      <c r="C68" s="58"/>
      <c r="D68" s="58">
        <v>1</v>
      </c>
      <c r="E68" s="43"/>
      <c r="F68" s="43">
        <v>1</v>
      </c>
      <c r="G68" s="44"/>
      <c r="H68" s="44">
        <v>6000</v>
      </c>
      <c r="I68" s="44">
        <f t="shared" si="92"/>
        <v>6000</v>
      </c>
      <c r="J68" s="44">
        <v>4800</v>
      </c>
      <c r="K68" s="44">
        <v>600</v>
      </c>
      <c r="L68" s="44">
        <v>600</v>
      </c>
      <c r="M68" s="44">
        <f t="shared" si="93"/>
        <v>3000</v>
      </c>
      <c r="N68" s="44">
        <v>2400</v>
      </c>
      <c r="O68" s="44">
        <v>300</v>
      </c>
      <c r="P68" s="44">
        <v>300</v>
      </c>
      <c r="Q68" s="44">
        <f t="shared" si="94"/>
        <v>3000</v>
      </c>
      <c r="R68" s="50">
        <f aca="true" t="shared" si="106" ref="R68:T68">J68-N68</f>
        <v>2400</v>
      </c>
      <c r="S68" s="50">
        <f t="shared" si="106"/>
        <v>300</v>
      </c>
      <c r="T68" s="50">
        <f t="shared" si="106"/>
        <v>300</v>
      </c>
      <c r="HT68" s="31"/>
      <c r="HU68" s="31"/>
      <c r="HV68" s="31"/>
      <c r="HW68" s="31"/>
    </row>
    <row r="69" spans="2:20" s="3" customFormat="1" ht="19.5" customHeight="1">
      <c r="B69" s="57" t="s">
        <v>80</v>
      </c>
      <c r="C69" s="58">
        <v>31</v>
      </c>
      <c r="D69" s="58">
        <v>100</v>
      </c>
      <c r="E69" s="43">
        <v>100</v>
      </c>
      <c r="F69" s="58"/>
      <c r="G69" s="44"/>
      <c r="H69" s="44">
        <v>650</v>
      </c>
      <c r="I69" s="44">
        <f t="shared" si="92"/>
        <v>65000</v>
      </c>
      <c r="J69" s="44">
        <v>52000</v>
      </c>
      <c r="K69" s="44">
        <v>6500</v>
      </c>
      <c r="L69" s="44">
        <v>6500</v>
      </c>
      <c r="M69" s="44">
        <f t="shared" si="93"/>
        <v>32500</v>
      </c>
      <c r="N69" s="44">
        <v>26000</v>
      </c>
      <c r="O69" s="44">
        <v>3250</v>
      </c>
      <c r="P69" s="44">
        <v>3250</v>
      </c>
      <c r="Q69" s="44">
        <f t="shared" si="94"/>
        <v>32500</v>
      </c>
      <c r="R69" s="50">
        <f aca="true" t="shared" si="107" ref="R69:T69">J69-N69</f>
        <v>26000</v>
      </c>
      <c r="S69" s="50">
        <f t="shared" si="107"/>
        <v>3250</v>
      </c>
      <c r="T69" s="50">
        <f t="shared" si="107"/>
        <v>3250</v>
      </c>
    </row>
    <row r="70" spans="2:231" s="3" customFormat="1" ht="19.5" customHeight="1">
      <c r="B70" s="57" t="s">
        <v>81</v>
      </c>
      <c r="C70" s="58"/>
      <c r="D70" s="54">
        <v>1</v>
      </c>
      <c r="E70" s="43"/>
      <c r="F70" s="43">
        <v>1</v>
      </c>
      <c r="G70" s="44"/>
      <c r="H70" s="44">
        <v>6000</v>
      </c>
      <c r="I70" s="44">
        <f t="shared" si="92"/>
        <v>6000</v>
      </c>
      <c r="J70" s="44">
        <v>4800</v>
      </c>
      <c r="K70" s="44">
        <v>600</v>
      </c>
      <c r="L70" s="44">
        <v>600</v>
      </c>
      <c r="M70" s="44">
        <f t="shared" si="93"/>
        <v>3000</v>
      </c>
      <c r="N70" s="44">
        <v>2400</v>
      </c>
      <c r="O70" s="44">
        <v>300</v>
      </c>
      <c r="P70" s="44">
        <v>300</v>
      </c>
      <c r="Q70" s="44">
        <f t="shared" si="94"/>
        <v>3000</v>
      </c>
      <c r="R70" s="50">
        <f aca="true" t="shared" si="108" ref="R70:T70">J70-N70</f>
        <v>2400</v>
      </c>
      <c r="S70" s="50">
        <f t="shared" si="108"/>
        <v>300</v>
      </c>
      <c r="T70" s="50">
        <f t="shared" si="108"/>
        <v>300</v>
      </c>
      <c r="HT70" s="31"/>
      <c r="HU70" s="31"/>
      <c r="HV70" s="31"/>
      <c r="HW70" s="31"/>
    </row>
    <row r="71" spans="2:20" s="3" customFormat="1" ht="19.5" customHeight="1">
      <c r="B71" s="57" t="s">
        <v>82</v>
      </c>
      <c r="C71" s="58">
        <v>43</v>
      </c>
      <c r="D71" s="44">
        <v>100</v>
      </c>
      <c r="E71" s="43">
        <v>100</v>
      </c>
      <c r="F71" s="44"/>
      <c r="G71" s="44"/>
      <c r="H71" s="44">
        <v>650</v>
      </c>
      <c r="I71" s="44">
        <f t="shared" si="92"/>
        <v>65000</v>
      </c>
      <c r="J71" s="44">
        <v>52000</v>
      </c>
      <c r="K71" s="44">
        <v>6500</v>
      </c>
      <c r="L71" s="44">
        <v>6500</v>
      </c>
      <c r="M71" s="44">
        <f t="shared" si="93"/>
        <v>32500</v>
      </c>
      <c r="N71" s="44">
        <v>26000</v>
      </c>
      <c r="O71" s="44">
        <v>3250</v>
      </c>
      <c r="P71" s="44">
        <v>3250</v>
      </c>
      <c r="Q71" s="44">
        <f t="shared" si="94"/>
        <v>32500</v>
      </c>
      <c r="R71" s="50">
        <f aca="true" t="shared" si="109" ref="R71:T71">J71-N71</f>
        <v>26000</v>
      </c>
      <c r="S71" s="50">
        <f t="shared" si="109"/>
        <v>3250</v>
      </c>
      <c r="T71" s="50">
        <f t="shared" si="109"/>
        <v>3250</v>
      </c>
    </row>
    <row r="72" spans="2:231" s="3" customFormat="1" ht="19.5" customHeight="1">
      <c r="B72" s="57" t="s">
        <v>83</v>
      </c>
      <c r="C72" s="58"/>
      <c r="D72" s="44">
        <v>1</v>
      </c>
      <c r="E72" s="43"/>
      <c r="F72" s="43">
        <v>1</v>
      </c>
      <c r="G72" s="44"/>
      <c r="H72" s="44">
        <v>6000</v>
      </c>
      <c r="I72" s="44">
        <f t="shared" si="92"/>
        <v>6000</v>
      </c>
      <c r="J72" s="44">
        <v>4800</v>
      </c>
      <c r="K72" s="44">
        <v>600</v>
      </c>
      <c r="L72" s="44">
        <v>600</v>
      </c>
      <c r="M72" s="44">
        <f t="shared" si="93"/>
        <v>3000</v>
      </c>
      <c r="N72" s="44">
        <v>2400</v>
      </c>
      <c r="O72" s="44">
        <v>300</v>
      </c>
      <c r="P72" s="44">
        <v>300</v>
      </c>
      <c r="Q72" s="44">
        <f t="shared" si="94"/>
        <v>3000</v>
      </c>
      <c r="R72" s="50">
        <f aca="true" t="shared" si="110" ref="R72:T72">J72-N72</f>
        <v>2400</v>
      </c>
      <c r="S72" s="50">
        <f t="shared" si="110"/>
        <v>300</v>
      </c>
      <c r="T72" s="50">
        <f t="shared" si="110"/>
        <v>300</v>
      </c>
      <c r="HT72" s="31"/>
      <c r="HU72" s="31"/>
      <c r="HV72" s="31"/>
      <c r="HW72" s="31"/>
    </row>
    <row r="73" spans="2:20" s="3" customFormat="1" ht="19.5" customHeight="1">
      <c r="B73" s="57" t="s">
        <v>84</v>
      </c>
      <c r="C73" s="58">
        <v>10</v>
      </c>
      <c r="D73" s="44">
        <v>100</v>
      </c>
      <c r="E73" s="43">
        <v>100</v>
      </c>
      <c r="F73" s="44"/>
      <c r="G73" s="44"/>
      <c r="H73" s="44">
        <v>650</v>
      </c>
      <c r="I73" s="44">
        <f t="shared" si="92"/>
        <v>65000</v>
      </c>
      <c r="J73" s="44">
        <v>52000</v>
      </c>
      <c r="K73" s="44">
        <v>6500</v>
      </c>
      <c r="L73" s="44">
        <v>6500</v>
      </c>
      <c r="M73" s="44">
        <f t="shared" si="93"/>
        <v>32500</v>
      </c>
      <c r="N73" s="44">
        <v>26000</v>
      </c>
      <c r="O73" s="44">
        <v>3250</v>
      </c>
      <c r="P73" s="44">
        <v>3250</v>
      </c>
      <c r="Q73" s="44">
        <f t="shared" si="94"/>
        <v>32500</v>
      </c>
      <c r="R73" s="50">
        <f aca="true" t="shared" si="111" ref="R73:T73">J73-N73</f>
        <v>26000</v>
      </c>
      <c r="S73" s="50">
        <f t="shared" si="111"/>
        <v>3250</v>
      </c>
      <c r="T73" s="50">
        <f t="shared" si="111"/>
        <v>3250</v>
      </c>
    </row>
    <row r="74" spans="2:20" s="3" customFormat="1" ht="19.5" customHeight="1">
      <c r="B74" s="57" t="s">
        <v>85</v>
      </c>
      <c r="C74" s="58">
        <v>57</v>
      </c>
      <c r="D74" s="58">
        <v>100</v>
      </c>
      <c r="E74" s="43">
        <v>100</v>
      </c>
      <c r="F74" s="58"/>
      <c r="G74" s="44"/>
      <c r="H74" s="44">
        <v>650</v>
      </c>
      <c r="I74" s="44">
        <f t="shared" si="92"/>
        <v>65000</v>
      </c>
      <c r="J74" s="44">
        <v>52000</v>
      </c>
      <c r="K74" s="44">
        <v>6500</v>
      </c>
      <c r="L74" s="44">
        <v>6500</v>
      </c>
      <c r="M74" s="44">
        <f t="shared" si="93"/>
        <v>32500</v>
      </c>
      <c r="N74" s="44">
        <v>26000</v>
      </c>
      <c r="O74" s="44">
        <v>3250</v>
      </c>
      <c r="P74" s="44">
        <v>3250</v>
      </c>
      <c r="Q74" s="44">
        <f t="shared" si="94"/>
        <v>32500</v>
      </c>
      <c r="R74" s="50">
        <f aca="true" t="shared" si="112" ref="R74:T74">J74-N74</f>
        <v>26000</v>
      </c>
      <c r="S74" s="50">
        <f t="shared" si="112"/>
        <v>3250</v>
      </c>
      <c r="T74" s="50">
        <f t="shared" si="112"/>
        <v>3250</v>
      </c>
    </row>
    <row r="75" spans="2:231" s="3" customFormat="1" ht="19.5" customHeight="1">
      <c r="B75" s="57" t="s">
        <v>86</v>
      </c>
      <c r="C75" s="58"/>
      <c r="D75" s="58">
        <v>2</v>
      </c>
      <c r="E75" s="43"/>
      <c r="F75" s="43">
        <v>2</v>
      </c>
      <c r="G75" s="44"/>
      <c r="H75" s="44">
        <v>6000</v>
      </c>
      <c r="I75" s="44">
        <f t="shared" si="92"/>
        <v>12000</v>
      </c>
      <c r="J75" s="44">
        <v>9600</v>
      </c>
      <c r="K75" s="44">
        <v>1200</v>
      </c>
      <c r="L75" s="44">
        <v>1200</v>
      </c>
      <c r="M75" s="44">
        <f t="shared" si="93"/>
        <v>6000</v>
      </c>
      <c r="N75" s="44">
        <v>4800</v>
      </c>
      <c r="O75" s="44">
        <v>600</v>
      </c>
      <c r="P75" s="44">
        <v>600</v>
      </c>
      <c r="Q75" s="44">
        <f t="shared" si="94"/>
        <v>6000</v>
      </c>
      <c r="R75" s="50">
        <f aca="true" t="shared" si="113" ref="R75:T75">J75-N75</f>
        <v>4800</v>
      </c>
      <c r="S75" s="50">
        <f t="shared" si="113"/>
        <v>600</v>
      </c>
      <c r="T75" s="50">
        <f t="shared" si="113"/>
        <v>600</v>
      </c>
      <c r="HT75" s="31"/>
      <c r="HU75" s="31"/>
      <c r="HV75" s="31"/>
      <c r="HW75" s="31"/>
    </row>
    <row r="76" spans="2:20" s="27" customFormat="1" ht="19.5" customHeight="1">
      <c r="B76" s="51" t="s">
        <v>87</v>
      </c>
      <c r="C76" s="52">
        <f aca="true" t="shared" si="114" ref="C76:G76">SUM(C77:C98)</f>
        <v>1994</v>
      </c>
      <c r="D76" s="52">
        <f t="shared" si="114"/>
        <v>2443</v>
      </c>
      <c r="E76" s="52">
        <f t="shared" si="114"/>
        <v>2429</v>
      </c>
      <c r="F76" s="52">
        <f t="shared" si="114"/>
        <v>12</v>
      </c>
      <c r="G76" s="52">
        <f t="shared" si="114"/>
        <v>2</v>
      </c>
      <c r="H76" s="52"/>
      <c r="I76" s="52">
        <f aca="true" t="shared" si="115" ref="I76:T76">SUM(I77:I98)</f>
        <v>1662850</v>
      </c>
      <c r="J76" s="52">
        <f t="shared" si="115"/>
        <v>1330280</v>
      </c>
      <c r="K76" s="52">
        <f t="shared" si="115"/>
        <v>166285</v>
      </c>
      <c r="L76" s="52">
        <f t="shared" si="115"/>
        <v>166285</v>
      </c>
      <c r="M76" s="52">
        <f t="shared" si="115"/>
        <v>831425</v>
      </c>
      <c r="N76" s="52">
        <f t="shared" si="115"/>
        <v>665140</v>
      </c>
      <c r="O76" s="52">
        <f t="shared" si="115"/>
        <v>83142.5</v>
      </c>
      <c r="P76" s="52">
        <f t="shared" si="115"/>
        <v>83142.5</v>
      </c>
      <c r="Q76" s="52">
        <f t="shared" si="115"/>
        <v>831425</v>
      </c>
      <c r="R76" s="52">
        <f t="shared" si="115"/>
        <v>665140</v>
      </c>
      <c r="S76" s="52">
        <f t="shared" si="115"/>
        <v>83142.5</v>
      </c>
      <c r="T76" s="52">
        <f t="shared" si="115"/>
        <v>83142.5</v>
      </c>
    </row>
    <row r="77" spans="2:20" s="3" customFormat="1" ht="19.5" customHeight="1">
      <c r="B77" s="63" t="s">
        <v>88</v>
      </c>
      <c r="C77" s="64">
        <v>743</v>
      </c>
      <c r="D77" s="64">
        <v>738</v>
      </c>
      <c r="E77" s="43">
        <v>738</v>
      </c>
      <c r="F77" s="64"/>
      <c r="G77" s="44"/>
      <c r="H77" s="44">
        <v>650</v>
      </c>
      <c r="I77" s="44">
        <f aca="true" t="shared" si="116" ref="I77:I98">SUM(J77:L77)</f>
        <v>479700</v>
      </c>
      <c r="J77" s="44">
        <f aca="true" t="shared" si="117" ref="J77:J81">ROUND(E77*H77*0.8,2)</f>
        <v>383760</v>
      </c>
      <c r="K77" s="44">
        <f aca="true" t="shared" si="118" ref="K77:K81">ROUND(E77*H77*0.1,2)</f>
        <v>47970</v>
      </c>
      <c r="L77" s="44">
        <f aca="true" t="shared" si="119" ref="L77:L81">ROUND(E77*H77*0.1,2)</f>
        <v>47970</v>
      </c>
      <c r="M77" s="44">
        <f aca="true" t="shared" si="120" ref="M77:M98">SUM(N77:P77)</f>
        <v>239850</v>
      </c>
      <c r="N77" s="44">
        <v>191880</v>
      </c>
      <c r="O77" s="44">
        <v>23985</v>
      </c>
      <c r="P77" s="44">
        <v>23985</v>
      </c>
      <c r="Q77" s="44">
        <f aca="true" t="shared" si="121" ref="Q77:Q98">SUM(R77:T77)</f>
        <v>239850</v>
      </c>
      <c r="R77" s="50">
        <f aca="true" t="shared" si="122" ref="R77:T77">J77-N77</f>
        <v>191880</v>
      </c>
      <c r="S77" s="50">
        <f t="shared" si="122"/>
        <v>23985</v>
      </c>
      <c r="T77" s="50">
        <f t="shared" si="122"/>
        <v>23985</v>
      </c>
    </row>
    <row r="78" spans="2:231" s="3" customFormat="1" ht="19.5" customHeight="1">
      <c r="B78" s="63" t="s">
        <v>89</v>
      </c>
      <c r="C78" s="64"/>
      <c r="D78" s="64">
        <v>4</v>
      </c>
      <c r="E78" s="43"/>
      <c r="F78" s="43">
        <v>4</v>
      </c>
      <c r="G78" s="44"/>
      <c r="H78" s="44">
        <v>6000</v>
      </c>
      <c r="I78" s="44">
        <f t="shared" si="116"/>
        <v>24000</v>
      </c>
      <c r="J78" s="44">
        <f>ROUND(F78*H78*0.8,2)</f>
        <v>19200</v>
      </c>
      <c r="K78" s="44">
        <f>ROUND(F78*H78*0.1,2)</f>
        <v>2400</v>
      </c>
      <c r="L78" s="44">
        <f>ROUND(F78*H78*0.1,2)</f>
        <v>2400</v>
      </c>
      <c r="M78" s="44">
        <f t="shared" si="120"/>
        <v>12000</v>
      </c>
      <c r="N78" s="44">
        <v>9600</v>
      </c>
      <c r="O78" s="44">
        <v>1200</v>
      </c>
      <c r="P78" s="44">
        <v>1200</v>
      </c>
      <c r="Q78" s="44">
        <f t="shared" si="121"/>
        <v>12000</v>
      </c>
      <c r="R78" s="50">
        <f aca="true" t="shared" si="123" ref="R78:T78">J78-N78</f>
        <v>9600</v>
      </c>
      <c r="S78" s="50">
        <f t="shared" si="123"/>
        <v>1200</v>
      </c>
      <c r="T78" s="50">
        <f t="shared" si="123"/>
        <v>1200</v>
      </c>
      <c r="HT78" s="31"/>
      <c r="HU78" s="31"/>
      <c r="HV78" s="31"/>
      <c r="HW78" s="31"/>
    </row>
    <row r="79" spans="2:231" s="3" customFormat="1" ht="19.5" customHeight="1">
      <c r="B79" s="63" t="s">
        <v>90</v>
      </c>
      <c r="C79" s="64"/>
      <c r="D79" s="64">
        <v>1</v>
      </c>
      <c r="E79" s="43"/>
      <c r="F79" s="43"/>
      <c r="G79" s="44">
        <v>1</v>
      </c>
      <c r="H79" s="44">
        <v>6000</v>
      </c>
      <c r="I79" s="44">
        <f t="shared" si="116"/>
        <v>6000</v>
      </c>
      <c r="J79" s="44">
        <f>ROUND(G79*H79*0.8,2)</f>
        <v>4800</v>
      </c>
      <c r="K79" s="44">
        <f>ROUND(G79*H79*0.1,2)</f>
        <v>600</v>
      </c>
      <c r="L79" s="44">
        <f>ROUND(G79*H79*0.1,2)</f>
        <v>600</v>
      </c>
      <c r="M79" s="44">
        <f t="shared" si="120"/>
        <v>3000</v>
      </c>
      <c r="N79" s="44">
        <v>2400</v>
      </c>
      <c r="O79" s="44">
        <v>300</v>
      </c>
      <c r="P79" s="44">
        <v>300</v>
      </c>
      <c r="Q79" s="44">
        <f t="shared" si="121"/>
        <v>3000</v>
      </c>
      <c r="R79" s="50">
        <f aca="true" t="shared" si="124" ref="R79:T79">J79-N79</f>
        <v>2400</v>
      </c>
      <c r="S79" s="50">
        <f t="shared" si="124"/>
        <v>300</v>
      </c>
      <c r="T79" s="50">
        <f t="shared" si="124"/>
        <v>300</v>
      </c>
      <c r="HT79" s="31"/>
      <c r="HU79" s="31"/>
      <c r="HV79" s="31"/>
      <c r="HW79" s="31"/>
    </row>
    <row r="80" spans="2:20" s="3" customFormat="1" ht="19.5" customHeight="1">
      <c r="B80" s="63" t="s">
        <v>91</v>
      </c>
      <c r="C80" s="64">
        <v>176</v>
      </c>
      <c r="D80" s="64">
        <v>176</v>
      </c>
      <c r="E80" s="64">
        <v>176</v>
      </c>
      <c r="F80" s="44"/>
      <c r="G80" s="44"/>
      <c r="H80" s="44">
        <v>650</v>
      </c>
      <c r="I80" s="44">
        <f t="shared" si="116"/>
        <v>114400</v>
      </c>
      <c r="J80" s="44">
        <f t="shared" si="117"/>
        <v>91520</v>
      </c>
      <c r="K80" s="44">
        <f t="shared" si="118"/>
        <v>11440</v>
      </c>
      <c r="L80" s="44">
        <f t="shared" si="119"/>
        <v>11440</v>
      </c>
      <c r="M80" s="44">
        <f t="shared" si="120"/>
        <v>57200</v>
      </c>
      <c r="N80" s="44">
        <v>45760</v>
      </c>
      <c r="O80" s="44">
        <v>5720</v>
      </c>
      <c r="P80" s="44">
        <v>5720</v>
      </c>
      <c r="Q80" s="44">
        <f t="shared" si="121"/>
        <v>57200</v>
      </c>
      <c r="R80" s="50">
        <f aca="true" t="shared" si="125" ref="R80:T80">J80-N80</f>
        <v>45760</v>
      </c>
      <c r="S80" s="50">
        <f t="shared" si="125"/>
        <v>5720</v>
      </c>
      <c r="T80" s="50">
        <f t="shared" si="125"/>
        <v>5720</v>
      </c>
    </row>
    <row r="81" spans="2:20" s="3" customFormat="1" ht="19.5" customHeight="1">
      <c r="B81" s="63" t="s">
        <v>92</v>
      </c>
      <c r="C81" s="64">
        <v>246</v>
      </c>
      <c r="D81" s="64">
        <v>244</v>
      </c>
      <c r="E81" s="43">
        <v>244</v>
      </c>
      <c r="F81" s="64"/>
      <c r="G81" s="44"/>
      <c r="H81" s="44">
        <v>650</v>
      </c>
      <c r="I81" s="44">
        <f t="shared" si="116"/>
        <v>158600</v>
      </c>
      <c r="J81" s="44">
        <f t="shared" si="117"/>
        <v>126880</v>
      </c>
      <c r="K81" s="44">
        <f t="shared" si="118"/>
        <v>15860</v>
      </c>
      <c r="L81" s="44">
        <f t="shared" si="119"/>
        <v>15860</v>
      </c>
      <c r="M81" s="44">
        <f t="shared" si="120"/>
        <v>79300</v>
      </c>
      <c r="N81" s="44">
        <v>63440</v>
      </c>
      <c r="O81" s="44">
        <v>7930</v>
      </c>
      <c r="P81" s="44">
        <v>7930</v>
      </c>
      <c r="Q81" s="44">
        <f t="shared" si="121"/>
        <v>79300</v>
      </c>
      <c r="R81" s="50">
        <f aca="true" t="shared" si="126" ref="R81:T81">J81-N81</f>
        <v>63440</v>
      </c>
      <c r="S81" s="50">
        <f t="shared" si="126"/>
        <v>7930</v>
      </c>
      <c r="T81" s="50">
        <f t="shared" si="126"/>
        <v>7930</v>
      </c>
    </row>
    <row r="82" spans="2:231" s="3" customFormat="1" ht="19.5" customHeight="1">
      <c r="B82" s="63" t="s">
        <v>93</v>
      </c>
      <c r="C82" s="64"/>
      <c r="D82" s="64">
        <v>2</v>
      </c>
      <c r="E82" s="43"/>
      <c r="F82" s="43">
        <v>2</v>
      </c>
      <c r="G82" s="44"/>
      <c r="H82" s="44">
        <v>6000</v>
      </c>
      <c r="I82" s="44">
        <f t="shared" si="116"/>
        <v>12000</v>
      </c>
      <c r="J82" s="44">
        <f>ROUND(F82*H82*0.8,2)</f>
        <v>9600</v>
      </c>
      <c r="K82" s="44">
        <f>ROUND(F82*H82*0.1,2)</f>
        <v>1200</v>
      </c>
      <c r="L82" s="44">
        <f>ROUND(F82*H82*0.1,2)</f>
        <v>1200</v>
      </c>
      <c r="M82" s="44">
        <f t="shared" si="120"/>
        <v>6000</v>
      </c>
      <c r="N82" s="44">
        <v>4800</v>
      </c>
      <c r="O82" s="44">
        <v>600</v>
      </c>
      <c r="P82" s="44">
        <v>600</v>
      </c>
      <c r="Q82" s="44">
        <f t="shared" si="121"/>
        <v>6000</v>
      </c>
      <c r="R82" s="50">
        <f aca="true" t="shared" si="127" ref="R82:T82">J82-N82</f>
        <v>4800</v>
      </c>
      <c r="S82" s="50">
        <f t="shared" si="127"/>
        <v>600</v>
      </c>
      <c r="T82" s="50">
        <f t="shared" si="127"/>
        <v>600</v>
      </c>
      <c r="HT82" s="31"/>
      <c r="HU82" s="31"/>
      <c r="HV82" s="31"/>
      <c r="HW82" s="31"/>
    </row>
    <row r="83" spans="2:20" s="3" customFormat="1" ht="19.5" customHeight="1">
      <c r="B83" s="63" t="s">
        <v>94</v>
      </c>
      <c r="C83" s="64">
        <v>77</v>
      </c>
      <c r="D83" s="44">
        <v>100</v>
      </c>
      <c r="E83" s="44">
        <v>100</v>
      </c>
      <c r="F83" s="44"/>
      <c r="G83" s="44"/>
      <c r="H83" s="44">
        <v>650</v>
      </c>
      <c r="I83" s="44">
        <f t="shared" si="116"/>
        <v>65000</v>
      </c>
      <c r="J83" s="44">
        <f aca="true" t="shared" si="128" ref="J83:J87">ROUND(E83*H83*0.8,2)</f>
        <v>52000</v>
      </c>
      <c r="K83" s="44">
        <f aca="true" t="shared" si="129" ref="K83:K87">ROUND(E83*H83*0.1,2)</f>
        <v>6500</v>
      </c>
      <c r="L83" s="44">
        <f aca="true" t="shared" si="130" ref="L83:L87">ROUND(E83*H83*0.1,2)</f>
        <v>6500</v>
      </c>
      <c r="M83" s="44">
        <f t="shared" si="120"/>
        <v>32500</v>
      </c>
      <c r="N83" s="44">
        <v>26000</v>
      </c>
      <c r="O83" s="44">
        <v>3250</v>
      </c>
      <c r="P83" s="44">
        <v>3250</v>
      </c>
      <c r="Q83" s="44">
        <f t="shared" si="121"/>
        <v>32500</v>
      </c>
      <c r="R83" s="50">
        <f aca="true" t="shared" si="131" ref="R83:T83">J83-N83</f>
        <v>26000</v>
      </c>
      <c r="S83" s="50">
        <f t="shared" si="131"/>
        <v>3250</v>
      </c>
      <c r="T83" s="50">
        <f t="shared" si="131"/>
        <v>3250</v>
      </c>
    </row>
    <row r="84" spans="2:231" s="3" customFormat="1" ht="19.5" customHeight="1">
      <c r="B84" s="63" t="s">
        <v>95</v>
      </c>
      <c r="C84" s="64"/>
      <c r="D84" s="44">
        <v>2</v>
      </c>
      <c r="E84" s="44"/>
      <c r="F84" s="44">
        <v>2</v>
      </c>
      <c r="G84" s="44"/>
      <c r="H84" s="44">
        <v>6000</v>
      </c>
      <c r="I84" s="44">
        <f t="shared" si="116"/>
        <v>12000</v>
      </c>
      <c r="J84" s="44">
        <f>ROUND(F84*H84*0.8,2)</f>
        <v>9600</v>
      </c>
      <c r="K84" s="44">
        <f>ROUND(F84*H84*0.1,2)</f>
        <v>1200</v>
      </c>
      <c r="L84" s="44">
        <f>ROUND(F84*H84*0.1,2)</f>
        <v>1200</v>
      </c>
      <c r="M84" s="44">
        <f t="shared" si="120"/>
        <v>6000</v>
      </c>
      <c r="N84" s="44">
        <v>4800</v>
      </c>
      <c r="O84" s="44">
        <v>600</v>
      </c>
      <c r="P84" s="44">
        <v>600</v>
      </c>
      <c r="Q84" s="44">
        <f t="shared" si="121"/>
        <v>6000</v>
      </c>
      <c r="R84" s="50">
        <f aca="true" t="shared" si="132" ref="R84:T84">J84-N84</f>
        <v>4800</v>
      </c>
      <c r="S84" s="50">
        <f t="shared" si="132"/>
        <v>600</v>
      </c>
      <c r="T84" s="50">
        <f t="shared" si="132"/>
        <v>600</v>
      </c>
      <c r="HT84" s="31"/>
      <c r="HU84" s="31"/>
      <c r="HV84" s="31"/>
      <c r="HW84" s="31"/>
    </row>
    <row r="85" spans="2:231" s="3" customFormat="1" ht="19.5" customHeight="1">
      <c r="B85" s="63" t="s">
        <v>96</v>
      </c>
      <c r="C85" s="64"/>
      <c r="D85" s="44">
        <v>1</v>
      </c>
      <c r="E85" s="59"/>
      <c r="F85" s="44"/>
      <c r="G85" s="44">
        <v>1</v>
      </c>
      <c r="H85" s="44">
        <v>6000</v>
      </c>
      <c r="I85" s="44">
        <f t="shared" si="116"/>
        <v>6000</v>
      </c>
      <c r="J85" s="44">
        <f>ROUND(G85*H85*0.8,2)</f>
        <v>4800</v>
      </c>
      <c r="K85" s="44">
        <f>ROUND(G85*H85*0.1,2)</f>
        <v>600</v>
      </c>
      <c r="L85" s="44">
        <f>ROUND(G85*H85*0.1,2)</f>
        <v>600</v>
      </c>
      <c r="M85" s="44">
        <f t="shared" si="120"/>
        <v>3000</v>
      </c>
      <c r="N85" s="44">
        <v>2400</v>
      </c>
      <c r="O85" s="44">
        <v>300</v>
      </c>
      <c r="P85" s="44">
        <v>300</v>
      </c>
      <c r="Q85" s="44">
        <f t="shared" si="121"/>
        <v>3000</v>
      </c>
      <c r="R85" s="50">
        <f aca="true" t="shared" si="133" ref="R85:T85">J85-N85</f>
        <v>2400</v>
      </c>
      <c r="S85" s="50">
        <f t="shared" si="133"/>
        <v>300</v>
      </c>
      <c r="T85" s="50">
        <f t="shared" si="133"/>
        <v>300</v>
      </c>
      <c r="HT85" s="31"/>
      <c r="HU85" s="31"/>
      <c r="HV85" s="31"/>
      <c r="HW85" s="31"/>
    </row>
    <row r="86" spans="2:20" s="3" customFormat="1" ht="19.5" customHeight="1">
      <c r="B86" s="63" t="s">
        <v>97</v>
      </c>
      <c r="C86" s="64">
        <v>108</v>
      </c>
      <c r="D86" s="44">
        <v>108</v>
      </c>
      <c r="E86" s="44">
        <v>108</v>
      </c>
      <c r="F86" s="44"/>
      <c r="G86" s="44"/>
      <c r="H86" s="44">
        <v>650</v>
      </c>
      <c r="I86" s="44">
        <f t="shared" si="116"/>
        <v>70200</v>
      </c>
      <c r="J86" s="44">
        <f t="shared" si="128"/>
        <v>56160</v>
      </c>
      <c r="K86" s="44">
        <f t="shared" si="129"/>
        <v>7020</v>
      </c>
      <c r="L86" s="44">
        <f t="shared" si="130"/>
        <v>7020</v>
      </c>
      <c r="M86" s="44">
        <f t="shared" si="120"/>
        <v>35100</v>
      </c>
      <c r="N86" s="44">
        <v>28080</v>
      </c>
      <c r="O86" s="44">
        <v>3510</v>
      </c>
      <c r="P86" s="44">
        <v>3510</v>
      </c>
      <c r="Q86" s="44">
        <f t="shared" si="121"/>
        <v>35100</v>
      </c>
      <c r="R86" s="50">
        <f aca="true" t="shared" si="134" ref="R86:T86">J86-N86</f>
        <v>28080</v>
      </c>
      <c r="S86" s="50">
        <f t="shared" si="134"/>
        <v>3510</v>
      </c>
      <c r="T86" s="50">
        <f t="shared" si="134"/>
        <v>3510</v>
      </c>
    </row>
    <row r="87" spans="2:20" s="3" customFormat="1" ht="19.5" customHeight="1">
      <c r="B87" s="63" t="s">
        <v>98</v>
      </c>
      <c r="C87" s="64">
        <v>197</v>
      </c>
      <c r="D87" s="64">
        <v>196</v>
      </c>
      <c r="E87" s="64">
        <v>196</v>
      </c>
      <c r="F87" s="44"/>
      <c r="G87" s="44"/>
      <c r="H87" s="44">
        <v>650</v>
      </c>
      <c r="I87" s="44">
        <f t="shared" si="116"/>
        <v>127400</v>
      </c>
      <c r="J87" s="44">
        <f t="shared" si="128"/>
        <v>101920</v>
      </c>
      <c r="K87" s="44">
        <f t="shared" si="129"/>
        <v>12740</v>
      </c>
      <c r="L87" s="44">
        <f t="shared" si="130"/>
        <v>12740</v>
      </c>
      <c r="M87" s="44">
        <f t="shared" si="120"/>
        <v>63700</v>
      </c>
      <c r="N87" s="44">
        <v>50960</v>
      </c>
      <c r="O87" s="44">
        <v>6370</v>
      </c>
      <c r="P87" s="44">
        <v>6370</v>
      </c>
      <c r="Q87" s="44">
        <f t="shared" si="121"/>
        <v>63700</v>
      </c>
      <c r="R87" s="50">
        <f aca="true" t="shared" si="135" ref="R87:T87">J87-N87</f>
        <v>50960</v>
      </c>
      <c r="S87" s="50">
        <f t="shared" si="135"/>
        <v>6370</v>
      </c>
      <c r="T87" s="50">
        <f t="shared" si="135"/>
        <v>6370</v>
      </c>
    </row>
    <row r="88" spans="2:231" s="3" customFormat="1" ht="19.5" customHeight="1">
      <c r="B88" s="63" t="s">
        <v>99</v>
      </c>
      <c r="C88" s="64"/>
      <c r="D88" s="64">
        <v>1</v>
      </c>
      <c r="E88" s="64"/>
      <c r="F88" s="44">
        <v>1</v>
      </c>
      <c r="G88" s="44"/>
      <c r="H88" s="44">
        <v>6000</v>
      </c>
      <c r="I88" s="44">
        <f t="shared" si="116"/>
        <v>6000</v>
      </c>
      <c r="J88" s="44">
        <f aca="true" t="shared" si="136" ref="J88:J92">ROUND(F88*H88*0.8,2)</f>
        <v>4800</v>
      </c>
      <c r="K88" s="44">
        <f aca="true" t="shared" si="137" ref="K88:K92">ROUND(F88*H88*0.1,2)</f>
        <v>600</v>
      </c>
      <c r="L88" s="44">
        <f aca="true" t="shared" si="138" ref="L88:L92">ROUND(F88*H88*0.1,2)</f>
        <v>600</v>
      </c>
      <c r="M88" s="44">
        <f t="shared" si="120"/>
        <v>3000</v>
      </c>
      <c r="N88" s="44">
        <v>2400</v>
      </c>
      <c r="O88" s="44">
        <v>300</v>
      </c>
      <c r="P88" s="44">
        <v>300</v>
      </c>
      <c r="Q88" s="44">
        <f t="shared" si="121"/>
        <v>3000</v>
      </c>
      <c r="R88" s="50">
        <f aca="true" t="shared" si="139" ref="R88:T88">J88-N88</f>
        <v>2400</v>
      </c>
      <c r="S88" s="50">
        <f t="shared" si="139"/>
        <v>300</v>
      </c>
      <c r="T88" s="50">
        <f t="shared" si="139"/>
        <v>300</v>
      </c>
      <c r="HT88" s="31"/>
      <c r="HU88" s="31"/>
      <c r="HV88" s="31"/>
      <c r="HW88" s="31"/>
    </row>
    <row r="89" spans="2:20" s="3" customFormat="1" ht="19.5" customHeight="1">
      <c r="B89" s="63" t="s">
        <v>100</v>
      </c>
      <c r="C89" s="64">
        <v>39</v>
      </c>
      <c r="D89" s="44">
        <v>100</v>
      </c>
      <c r="E89" s="44">
        <v>100</v>
      </c>
      <c r="F89" s="44"/>
      <c r="G89" s="44"/>
      <c r="H89" s="44">
        <v>650</v>
      </c>
      <c r="I89" s="44">
        <f t="shared" si="116"/>
        <v>65000</v>
      </c>
      <c r="J89" s="44">
        <f aca="true" t="shared" si="140" ref="J89:J93">ROUND(E89*H89*0.8,2)</f>
        <v>52000</v>
      </c>
      <c r="K89" s="44">
        <f aca="true" t="shared" si="141" ref="K89:K93">ROUND(E89*H89*0.1,2)</f>
        <v>6500</v>
      </c>
      <c r="L89" s="44">
        <f aca="true" t="shared" si="142" ref="L89:L93">ROUND(E89*H89*0.1,2)</f>
        <v>6500</v>
      </c>
      <c r="M89" s="44">
        <f t="shared" si="120"/>
        <v>32500</v>
      </c>
      <c r="N89" s="44">
        <v>26000</v>
      </c>
      <c r="O89" s="44">
        <v>3250</v>
      </c>
      <c r="P89" s="44">
        <v>3250</v>
      </c>
      <c r="Q89" s="44">
        <f t="shared" si="121"/>
        <v>32500</v>
      </c>
      <c r="R89" s="50">
        <f aca="true" t="shared" si="143" ref="R89:T89">J89-N89</f>
        <v>26000</v>
      </c>
      <c r="S89" s="50">
        <f t="shared" si="143"/>
        <v>3250</v>
      </c>
      <c r="T89" s="50">
        <f t="shared" si="143"/>
        <v>3250</v>
      </c>
    </row>
    <row r="90" spans="2:231" s="3" customFormat="1" ht="19.5" customHeight="1">
      <c r="B90" s="63" t="s">
        <v>101</v>
      </c>
      <c r="C90" s="64"/>
      <c r="D90" s="44">
        <v>1</v>
      </c>
      <c r="E90" s="44"/>
      <c r="F90" s="44">
        <v>1</v>
      </c>
      <c r="G90" s="44"/>
      <c r="H90" s="44">
        <v>6000</v>
      </c>
      <c r="I90" s="44">
        <f t="shared" si="116"/>
        <v>6000</v>
      </c>
      <c r="J90" s="44">
        <f t="shared" si="136"/>
        <v>4800</v>
      </c>
      <c r="K90" s="44">
        <f t="shared" si="137"/>
        <v>600</v>
      </c>
      <c r="L90" s="44">
        <f t="shared" si="138"/>
        <v>600</v>
      </c>
      <c r="M90" s="44">
        <f t="shared" si="120"/>
        <v>3000</v>
      </c>
      <c r="N90" s="44">
        <v>2400</v>
      </c>
      <c r="O90" s="44">
        <v>300</v>
      </c>
      <c r="P90" s="44">
        <v>300</v>
      </c>
      <c r="Q90" s="44">
        <f t="shared" si="121"/>
        <v>3000</v>
      </c>
      <c r="R90" s="50">
        <f aca="true" t="shared" si="144" ref="R90:T90">J90-N90</f>
        <v>2400</v>
      </c>
      <c r="S90" s="50">
        <f t="shared" si="144"/>
        <v>300</v>
      </c>
      <c r="T90" s="50">
        <f t="shared" si="144"/>
        <v>300</v>
      </c>
      <c r="HT90" s="31"/>
      <c r="HU90" s="31"/>
      <c r="HV90" s="31"/>
      <c r="HW90" s="31"/>
    </row>
    <row r="91" spans="2:20" s="3" customFormat="1" ht="19.5" customHeight="1">
      <c r="B91" s="63" t="s">
        <v>102</v>
      </c>
      <c r="C91" s="64">
        <v>268</v>
      </c>
      <c r="D91" s="64">
        <v>267</v>
      </c>
      <c r="E91" s="64">
        <v>267</v>
      </c>
      <c r="F91" s="44"/>
      <c r="G91" s="44"/>
      <c r="H91" s="44">
        <v>650</v>
      </c>
      <c r="I91" s="44">
        <f t="shared" si="116"/>
        <v>173550</v>
      </c>
      <c r="J91" s="44">
        <f t="shared" si="140"/>
        <v>138840</v>
      </c>
      <c r="K91" s="44">
        <f t="shared" si="141"/>
        <v>17355</v>
      </c>
      <c r="L91" s="44">
        <f t="shared" si="142"/>
        <v>17355</v>
      </c>
      <c r="M91" s="44">
        <f t="shared" si="120"/>
        <v>86775</v>
      </c>
      <c r="N91" s="44">
        <v>69420</v>
      </c>
      <c r="O91" s="44">
        <v>8677.5</v>
      </c>
      <c r="P91" s="44">
        <v>8677.5</v>
      </c>
      <c r="Q91" s="44">
        <f t="shared" si="121"/>
        <v>86775</v>
      </c>
      <c r="R91" s="50">
        <f aca="true" t="shared" si="145" ref="R91:T91">J91-N91</f>
        <v>69420</v>
      </c>
      <c r="S91" s="50">
        <f t="shared" si="145"/>
        <v>8677.5</v>
      </c>
      <c r="T91" s="50">
        <f t="shared" si="145"/>
        <v>8677.5</v>
      </c>
    </row>
    <row r="92" spans="2:231" s="3" customFormat="1" ht="19.5" customHeight="1">
      <c r="B92" s="63" t="s">
        <v>103</v>
      </c>
      <c r="C92" s="64"/>
      <c r="D92" s="64">
        <v>1</v>
      </c>
      <c r="E92" s="64"/>
      <c r="F92" s="44">
        <v>1</v>
      </c>
      <c r="G92" s="44"/>
      <c r="H92" s="44">
        <v>6000</v>
      </c>
      <c r="I92" s="44">
        <f t="shared" si="116"/>
        <v>6000</v>
      </c>
      <c r="J92" s="44">
        <f t="shared" si="136"/>
        <v>4800</v>
      </c>
      <c r="K92" s="44">
        <f t="shared" si="137"/>
        <v>600</v>
      </c>
      <c r="L92" s="44">
        <f t="shared" si="138"/>
        <v>600</v>
      </c>
      <c r="M92" s="44">
        <f t="shared" si="120"/>
        <v>3000</v>
      </c>
      <c r="N92" s="44">
        <v>2400</v>
      </c>
      <c r="O92" s="44">
        <v>300</v>
      </c>
      <c r="P92" s="44">
        <v>300</v>
      </c>
      <c r="Q92" s="44">
        <f t="shared" si="121"/>
        <v>3000</v>
      </c>
      <c r="R92" s="50">
        <f aca="true" t="shared" si="146" ref="R92:T92">J92-N92</f>
        <v>2400</v>
      </c>
      <c r="S92" s="50">
        <f t="shared" si="146"/>
        <v>300</v>
      </c>
      <c r="T92" s="50">
        <f t="shared" si="146"/>
        <v>300</v>
      </c>
      <c r="HT92" s="31"/>
      <c r="HU92" s="31"/>
      <c r="HV92" s="31"/>
      <c r="HW92" s="31"/>
    </row>
    <row r="93" spans="2:20" s="3" customFormat="1" ht="19.5" customHeight="1">
      <c r="B93" s="63" t="s">
        <v>104</v>
      </c>
      <c r="C93" s="64">
        <v>18</v>
      </c>
      <c r="D93" s="44">
        <v>100</v>
      </c>
      <c r="E93" s="44">
        <v>100</v>
      </c>
      <c r="F93" s="44"/>
      <c r="G93" s="44"/>
      <c r="H93" s="44">
        <v>650</v>
      </c>
      <c r="I93" s="44">
        <f t="shared" si="116"/>
        <v>65000</v>
      </c>
      <c r="J93" s="44">
        <f t="shared" si="140"/>
        <v>52000</v>
      </c>
      <c r="K93" s="44">
        <f t="shared" si="141"/>
        <v>6500</v>
      </c>
      <c r="L93" s="44">
        <f t="shared" si="142"/>
        <v>6500</v>
      </c>
      <c r="M93" s="44">
        <f t="shared" si="120"/>
        <v>32500</v>
      </c>
      <c r="N93" s="44">
        <v>26000</v>
      </c>
      <c r="O93" s="44">
        <v>3250</v>
      </c>
      <c r="P93" s="44">
        <v>3250</v>
      </c>
      <c r="Q93" s="44">
        <f t="shared" si="121"/>
        <v>32500</v>
      </c>
      <c r="R93" s="50">
        <f aca="true" t="shared" si="147" ref="R93:T93">J93-N93</f>
        <v>26000</v>
      </c>
      <c r="S93" s="50">
        <f t="shared" si="147"/>
        <v>3250</v>
      </c>
      <c r="T93" s="50">
        <f t="shared" si="147"/>
        <v>3250</v>
      </c>
    </row>
    <row r="94" spans="2:231" s="3" customFormat="1" ht="19.5" customHeight="1">
      <c r="B94" s="63" t="s">
        <v>105</v>
      </c>
      <c r="C94" s="64"/>
      <c r="D94" s="44">
        <v>1</v>
      </c>
      <c r="E94" s="44"/>
      <c r="F94" s="44">
        <v>1</v>
      </c>
      <c r="G94" s="44"/>
      <c r="H94" s="44">
        <v>6000</v>
      </c>
      <c r="I94" s="44">
        <f t="shared" si="116"/>
        <v>6000</v>
      </c>
      <c r="J94" s="44">
        <f>ROUND(F94*H94*0.8,2)</f>
        <v>4800</v>
      </c>
      <c r="K94" s="44">
        <f>ROUND(F94*H94*0.1,2)</f>
        <v>600</v>
      </c>
      <c r="L94" s="44">
        <f>ROUND(F94*H94*0.1,2)</f>
        <v>600</v>
      </c>
      <c r="M94" s="44">
        <f t="shared" si="120"/>
        <v>3000</v>
      </c>
      <c r="N94" s="44">
        <v>2400</v>
      </c>
      <c r="O94" s="44">
        <v>300</v>
      </c>
      <c r="P94" s="44">
        <v>300</v>
      </c>
      <c r="Q94" s="44">
        <f t="shared" si="121"/>
        <v>3000</v>
      </c>
      <c r="R94" s="50">
        <f aca="true" t="shared" si="148" ref="R94:T94">J94-N94</f>
        <v>2400</v>
      </c>
      <c r="S94" s="50">
        <f t="shared" si="148"/>
        <v>300</v>
      </c>
      <c r="T94" s="50">
        <f t="shared" si="148"/>
        <v>300</v>
      </c>
      <c r="HT94" s="31"/>
      <c r="HU94" s="31"/>
      <c r="HV94" s="31"/>
      <c r="HW94" s="31"/>
    </row>
    <row r="95" spans="2:20" s="3" customFormat="1" ht="19.5" customHeight="1">
      <c r="B95" s="63" t="s">
        <v>106</v>
      </c>
      <c r="C95" s="64">
        <v>57</v>
      </c>
      <c r="D95" s="44">
        <v>100</v>
      </c>
      <c r="E95" s="44">
        <v>100</v>
      </c>
      <c r="F95" s="44"/>
      <c r="G95" s="44"/>
      <c r="H95" s="44">
        <v>650</v>
      </c>
      <c r="I95" s="44">
        <f t="shared" si="116"/>
        <v>65000</v>
      </c>
      <c r="J95" s="44">
        <f aca="true" t="shared" si="149" ref="J95:J98">ROUND(E95*H95*0.8,2)</f>
        <v>52000</v>
      </c>
      <c r="K95" s="44">
        <f aca="true" t="shared" si="150" ref="K95:K98">ROUND(E95*H95*0.1,2)</f>
        <v>6500</v>
      </c>
      <c r="L95" s="44">
        <f aca="true" t="shared" si="151" ref="L95:L98">ROUND(E95*H95*0.1,2)</f>
        <v>6500</v>
      </c>
      <c r="M95" s="44">
        <f t="shared" si="120"/>
        <v>32500</v>
      </c>
      <c r="N95" s="44">
        <v>26000</v>
      </c>
      <c r="O95" s="44">
        <v>3250</v>
      </c>
      <c r="P95" s="44">
        <v>3250</v>
      </c>
      <c r="Q95" s="44">
        <f t="shared" si="121"/>
        <v>32500</v>
      </c>
      <c r="R95" s="50">
        <f aca="true" t="shared" si="152" ref="R95:T95">J95-N95</f>
        <v>26000</v>
      </c>
      <c r="S95" s="50">
        <f t="shared" si="152"/>
        <v>3250</v>
      </c>
      <c r="T95" s="50">
        <f t="shared" si="152"/>
        <v>3250</v>
      </c>
    </row>
    <row r="96" spans="2:20" s="3" customFormat="1" ht="19.5" customHeight="1">
      <c r="B96" s="63" t="s">
        <v>107</v>
      </c>
      <c r="C96" s="64">
        <v>20</v>
      </c>
      <c r="D96" s="44">
        <v>100</v>
      </c>
      <c r="E96" s="44">
        <v>100</v>
      </c>
      <c r="F96" s="44"/>
      <c r="G96" s="44"/>
      <c r="H96" s="44">
        <v>650</v>
      </c>
      <c r="I96" s="44">
        <f t="shared" si="116"/>
        <v>65000</v>
      </c>
      <c r="J96" s="44">
        <f t="shared" si="149"/>
        <v>52000</v>
      </c>
      <c r="K96" s="44">
        <f t="shared" si="150"/>
        <v>6500</v>
      </c>
      <c r="L96" s="44">
        <f t="shared" si="151"/>
        <v>6500</v>
      </c>
      <c r="M96" s="44">
        <f t="shared" si="120"/>
        <v>32500</v>
      </c>
      <c r="N96" s="44">
        <v>26000</v>
      </c>
      <c r="O96" s="44">
        <v>3250</v>
      </c>
      <c r="P96" s="44">
        <v>3250</v>
      </c>
      <c r="Q96" s="44">
        <f t="shared" si="121"/>
        <v>32500</v>
      </c>
      <c r="R96" s="50">
        <f aca="true" t="shared" si="153" ref="R96:T96">J96-N96</f>
        <v>26000</v>
      </c>
      <c r="S96" s="50">
        <f t="shared" si="153"/>
        <v>3250</v>
      </c>
      <c r="T96" s="50">
        <f t="shared" si="153"/>
        <v>3250</v>
      </c>
    </row>
    <row r="97" spans="2:20" s="3" customFormat="1" ht="19.5" customHeight="1">
      <c r="B97" s="63" t="s">
        <v>108</v>
      </c>
      <c r="C97" s="64">
        <v>28</v>
      </c>
      <c r="D97" s="44">
        <v>100</v>
      </c>
      <c r="E97" s="44">
        <v>100</v>
      </c>
      <c r="F97" s="44"/>
      <c r="G97" s="44"/>
      <c r="H97" s="44">
        <v>650</v>
      </c>
      <c r="I97" s="44">
        <f t="shared" si="116"/>
        <v>65000</v>
      </c>
      <c r="J97" s="44">
        <f t="shared" si="149"/>
        <v>52000</v>
      </c>
      <c r="K97" s="44">
        <f t="shared" si="150"/>
        <v>6500</v>
      </c>
      <c r="L97" s="44">
        <f t="shared" si="151"/>
        <v>6500</v>
      </c>
      <c r="M97" s="44">
        <f t="shared" si="120"/>
        <v>32500</v>
      </c>
      <c r="N97" s="44">
        <v>26000</v>
      </c>
      <c r="O97" s="44">
        <v>3250</v>
      </c>
      <c r="P97" s="44">
        <v>3250</v>
      </c>
      <c r="Q97" s="44">
        <f t="shared" si="121"/>
        <v>32500</v>
      </c>
      <c r="R97" s="50">
        <f aca="true" t="shared" si="154" ref="R97:T97">J97-N97</f>
        <v>26000</v>
      </c>
      <c r="S97" s="50">
        <f t="shared" si="154"/>
        <v>3250</v>
      </c>
      <c r="T97" s="50">
        <f t="shared" si="154"/>
        <v>3250</v>
      </c>
    </row>
    <row r="98" spans="2:20" s="3" customFormat="1" ht="19.5" customHeight="1">
      <c r="B98" s="63" t="s">
        <v>109</v>
      </c>
      <c r="C98" s="64">
        <v>17</v>
      </c>
      <c r="D98" s="44">
        <v>100</v>
      </c>
      <c r="E98" s="44">
        <v>100</v>
      </c>
      <c r="F98" s="44"/>
      <c r="G98" s="44"/>
      <c r="H98" s="44">
        <v>650</v>
      </c>
      <c r="I98" s="44">
        <f t="shared" si="116"/>
        <v>65000</v>
      </c>
      <c r="J98" s="44">
        <f t="shared" si="149"/>
        <v>52000</v>
      </c>
      <c r="K98" s="44">
        <f t="shared" si="150"/>
        <v>6500</v>
      </c>
      <c r="L98" s="44">
        <f t="shared" si="151"/>
        <v>6500</v>
      </c>
      <c r="M98" s="44">
        <f t="shared" si="120"/>
        <v>32500</v>
      </c>
      <c r="N98" s="44">
        <v>26000</v>
      </c>
      <c r="O98" s="44">
        <v>3250</v>
      </c>
      <c r="P98" s="44">
        <v>3250</v>
      </c>
      <c r="Q98" s="44">
        <f t="shared" si="121"/>
        <v>32500</v>
      </c>
      <c r="R98" s="50">
        <f aca="true" t="shared" si="155" ref="R98:T98">J98-N98</f>
        <v>26000</v>
      </c>
      <c r="S98" s="50">
        <f t="shared" si="155"/>
        <v>3250</v>
      </c>
      <c r="T98" s="50">
        <f t="shared" si="155"/>
        <v>3250</v>
      </c>
    </row>
    <row r="99" spans="2:20" s="27" customFormat="1" ht="19.5" customHeight="1">
      <c r="B99" s="51" t="s">
        <v>110</v>
      </c>
      <c r="C99" s="52">
        <f aca="true" t="shared" si="156" ref="C99:G99">SUM(C100:C107)</f>
        <v>842</v>
      </c>
      <c r="D99" s="52">
        <f t="shared" si="156"/>
        <v>1076</v>
      </c>
      <c r="E99" s="52">
        <f t="shared" si="156"/>
        <v>1064</v>
      </c>
      <c r="F99" s="52">
        <f t="shared" si="156"/>
        <v>11</v>
      </c>
      <c r="G99" s="52">
        <f t="shared" si="156"/>
        <v>1</v>
      </c>
      <c r="H99" s="52"/>
      <c r="I99" s="52">
        <f aca="true" t="shared" si="157" ref="I99:T99">SUM(I100:I107)</f>
        <v>763600</v>
      </c>
      <c r="J99" s="52">
        <f t="shared" si="157"/>
        <v>610880</v>
      </c>
      <c r="K99" s="52">
        <f t="shared" si="157"/>
        <v>76360</v>
      </c>
      <c r="L99" s="52">
        <f t="shared" si="157"/>
        <v>76360</v>
      </c>
      <c r="M99" s="52">
        <f t="shared" si="157"/>
        <v>381800</v>
      </c>
      <c r="N99" s="52">
        <f t="shared" si="157"/>
        <v>305440</v>
      </c>
      <c r="O99" s="52">
        <f t="shared" si="157"/>
        <v>38180</v>
      </c>
      <c r="P99" s="52">
        <f t="shared" si="157"/>
        <v>38180</v>
      </c>
      <c r="Q99" s="52">
        <f t="shared" si="157"/>
        <v>381800</v>
      </c>
      <c r="R99" s="52">
        <f t="shared" si="157"/>
        <v>305440</v>
      </c>
      <c r="S99" s="52">
        <f t="shared" si="157"/>
        <v>38180</v>
      </c>
      <c r="T99" s="52">
        <f t="shared" si="157"/>
        <v>38180</v>
      </c>
    </row>
    <row r="100" spans="2:20" s="3" customFormat="1" ht="19.5" customHeight="1">
      <c r="B100" s="65" t="s">
        <v>111</v>
      </c>
      <c r="C100" s="66">
        <v>670</v>
      </c>
      <c r="D100" s="66">
        <v>664</v>
      </c>
      <c r="E100" s="66">
        <v>664</v>
      </c>
      <c r="F100" s="44"/>
      <c r="G100" s="44"/>
      <c r="H100" s="44">
        <v>650</v>
      </c>
      <c r="I100" s="44">
        <f aca="true" t="shared" si="158" ref="I100:I107">SUM(J100:L100)</f>
        <v>431600</v>
      </c>
      <c r="J100" s="44">
        <f aca="true" t="shared" si="159" ref="J100:J107">ROUND(E100*H100*0.8,2)</f>
        <v>345280</v>
      </c>
      <c r="K100" s="44">
        <f aca="true" t="shared" si="160" ref="K100:K107">ROUND(E100*H100*0.1,2)</f>
        <v>43160</v>
      </c>
      <c r="L100" s="44">
        <f aca="true" t="shared" si="161" ref="L100:L107">ROUND(E100*H100*0.1,2)</f>
        <v>43160</v>
      </c>
      <c r="M100" s="44">
        <f aca="true" t="shared" si="162" ref="M100:M107">SUM(N100:P100)</f>
        <v>215800</v>
      </c>
      <c r="N100" s="44">
        <v>172640</v>
      </c>
      <c r="O100" s="44">
        <v>21580</v>
      </c>
      <c r="P100" s="44">
        <v>21580</v>
      </c>
      <c r="Q100" s="44">
        <f aca="true" t="shared" si="163" ref="Q100:Q107">SUM(R100:T100)</f>
        <v>215800</v>
      </c>
      <c r="R100" s="50">
        <f aca="true" t="shared" si="164" ref="R100:T100">J100-N100</f>
        <v>172640</v>
      </c>
      <c r="S100" s="50">
        <f t="shared" si="164"/>
        <v>21580</v>
      </c>
      <c r="T100" s="50">
        <f t="shared" si="164"/>
        <v>21580</v>
      </c>
    </row>
    <row r="101" spans="2:231" s="3" customFormat="1" ht="19.5" customHeight="1">
      <c r="B101" s="65" t="s">
        <v>112</v>
      </c>
      <c r="C101" s="66"/>
      <c r="D101" s="44">
        <v>5</v>
      </c>
      <c r="E101" s="44"/>
      <c r="F101" s="44">
        <v>5</v>
      </c>
      <c r="G101" s="44"/>
      <c r="H101" s="44">
        <v>6000</v>
      </c>
      <c r="I101" s="44">
        <f t="shared" si="158"/>
        <v>30000</v>
      </c>
      <c r="J101" s="44">
        <f>ROUND(F101*H101*0.8,2)</f>
        <v>24000</v>
      </c>
      <c r="K101" s="44">
        <f>ROUND(F101*H101*0.1,2)</f>
        <v>3000</v>
      </c>
      <c r="L101" s="44">
        <f>ROUND(F101*H101*0.1,2)</f>
        <v>3000</v>
      </c>
      <c r="M101" s="44">
        <f t="shared" si="162"/>
        <v>15000</v>
      </c>
      <c r="N101" s="44">
        <v>12000</v>
      </c>
      <c r="O101" s="44">
        <v>1500</v>
      </c>
      <c r="P101" s="44">
        <v>1500</v>
      </c>
      <c r="Q101" s="44">
        <f t="shared" si="163"/>
        <v>15000</v>
      </c>
      <c r="R101" s="50">
        <f aca="true" t="shared" si="165" ref="R101:T101">J101-N101</f>
        <v>12000</v>
      </c>
      <c r="S101" s="50">
        <f t="shared" si="165"/>
        <v>1500</v>
      </c>
      <c r="T101" s="50">
        <f t="shared" si="165"/>
        <v>1500</v>
      </c>
      <c r="HT101" s="31"/>
      <c r="HU101" s="31"/>
      <c r="HV101" s="31"/>
      <c r="HW101" s="31"/>
    </row>
    <row r="102" spans="2:231" s="3" customFormat="1" ht="19.5" customHeight="1">
      <c r="B102" s="65" t="s">
        <v>113</v>
      </c>
      <c r="C102" s="66"/>
      <c r="D102" s="44">
        <v>1</v>
      </c>
      <c r="E102" s="44"/>
      <c r="F102" s="44"/>
      <c r="G102" s="44">
        <v>1</v>
      </c>
      <c r="H102" s="44">
        <v>6000</v>
      </c>
      <c r="I102" s="44">
        <f t="shared" si="158"/>
        <v>6000</v>
      </c>
      <c r="J102" s="44">
        <f>ROUND(G102*H102*0.8,2)</f>
        <v>4800</v>
      </c>
      <c r="K102" s="44">
        <f>ROUND(G102*H102*0.1,2)</f>
        <v>600</v>
      </c>
      <c r="L102" s="44">
        <f>ROUND(G102*H102*0.1,2)</f>
        <v>600</v>
      </c>
      <c r="M102" s="44">
        <f t="shared" si="162"/>
        <v>3000</v>
      </c>
      <c r="N102" s="44">
        <v>2400</v>
      </c>
      <c r="O102" s="44">
        <v>300</v>
      </c>
      <c r="P102" s="44">
        <v>300</v>
      </c>
      <c r="Q102" s="44">
        <f t="shared" si="163"/>
        <v>3000</v>
      </c>
      <c r="R102" s="50">
        <f aca="true" t="shared" si="166" ref="R102:T102">J102-N102</f>
        <v>2400</v>
      </c>
      <c r="S102" s="50">
        <f t="shared" si="166"/>
        <v>300</v>
      </c>
      <c r="T102" s="50">
        <f t="shared" si="166"/>
        <v>300</v>
      </c>
      <c r="HT102" s="31"/>
      <c r="HU102" s="31"/>
      <c r="HV102" s="31"/>
      <c r="HW102" s="31"/>
    </row>
    <row r="103" spans="2:20" s="3" customFormat="1" ht="19.5" customHeight="1">
      <c r="B103" s="65" t="s">
        <v>114</v>
      </c>
      <c r="C103" s="66">
        <v>55</v>
      </c>
      <c r="D103" s="44">
        <v>100</v>
      </c>
      <c r="E103" s="44">
        <v>100</v>
      </c>
      <c r="F103" s="44"/>
      <c r="G103" s="44"/>
      <c r="H103" s="44">
        <v>650</v>
      </c>
      <c r="I103" s="44">
        <f t="shared" si="158"/>
        <v>65000</v>
      </c>
      <c r="J103" s="44">
        <f t="shared" si="159"/>
        <v>52000</v>
      </c>
      <c r="K103" s="44">
        <f t="shared" si="160"/>
        <v>6500</v>
      </c>
      <c r="L103" s="44">
        <f t="shared" si="161"/>
        <v>6500</v>
      </c>
      <c r="M103" s="44">
        <f t="shared" si="162"/>
        <v>32500</v>
      </c>
      <c r="N103" s="44">
        <v>26000</v>
      </c>
      <c r="O103" s="44">
        <v>3250</v>
      </c>
      <c r="P103" s="44">
        <v>3250</v>
      </c>
      <c r="Q103" s="44">
        <f t="shared" si="163"/>
        <v>32500</v>
      </c>
      <c r="R103" s="50">
        <f aca="true" t="shared" si="167" ref="R103:T103">J103-N103</f>
        <v>26000</v>
      </c>
      <c r="S103" s="50">
        <f t="shared" si="167"/>
        <v>3250</v>
      </c>
      <c r="T103" s="50">
        <f t="shared" si="167"/>
        <v>3250</v>
      </c>
    </row>
    <row r="104" spans="2:231" s="3" customFormat="1" ht="19.5" customHeight="1">
      <c r="B104" s="65" t="s">
        <v>115</v>
      </c>
      <c r="C104" s="66"/>
      <c r="D104" s="44">
        <v>6</v>
      </c>
      <c r="E104" s="59"/>
      <c r="F104" s="44">
        <v>6</v>
      </c>
      <c r="G104" s="44"/>
      <c r="H104" s="44">
        <v>6000</v>
      </c>
      <c r="I104" s="44">
        <f t="shared" si="158"/>
        <v>36000</v>
      </c>
      <c r="J104" s="44">
        <f>ROUND(F104*H104*0.8,2)</f>
        <v>28800</v>
      </c>
      <c r="K104" s="44">
        <f>ROUND(F104*H104*0.1,2)</f>
        <v>3600</v>
      </c>
      <c r="L104" s="44">
        <f>ROUND(F104*H104*0.1,2)</f>
        <v>3600</v>
      </c>
      <c r="M104" s="44">
        <f t="shared" si="162"/>
        <v>18000</v>
      </c>
      <c r="N104" s="44">
        <v>14400</v>
      </c>
      <c r="O104" s="44">
        <v>1800</v>
      </c>
      <c r="P104" s="44">
        <v>1800</v>
      </c>
      <c r="Q104" s="44">
        <f t="shared" si="163"/>
        <v>18000</v>
      </c>
      <c r="R104" s="50">
        <f aca="true" t="shared" si="168" ref="R104:T104">J104-N104</f>
        <v>14400</v>
      </c>
      <c r="S104" s="50">
        <f t="shared" si="168"/>
        <v>1800</v>
      </c>
      <c r="T104" s="50">
        <f t="shared" si="168"/>
        <v>1800</v>
      </c>
      <c r="HT104" s="31"/>
      <c r="HU104" s="31"/>
      <c r="HV104" s="31"/>
      <c r="HW104" s="31"/>
    </row>
    <row r="105" spans="2:20" s="3" customFormat="1" ht="19.5" customHeight="1">
      <c r="B105" s="65" t="s">
        <v>116</v>
      </c>
      <c r="C105" s="66">
        <v>19</v>
      </c>
      <c r="D105" s="44">
        <v>100</v>
      </c>
      <c r="E105" s="44">
        <v>100</v>
      </c>
      <c r="F105" s="44"/>
      <c r="G105" s="44"/>
      <c r="H105" s="44">
        <v>650</v>
      </c>
      <c r="I105" s="44">
        <f t="shared" si="158"/>
        <v>65000</v>
      </c>
      <c r="J105" s="44">
        <f t="shared" si="159"/>
        <v>52000</v>
      </c>
      <c r="K105" s="44">
        <f t="shared" si="160"/>
        <v>6500</v>
      </c>
      <c r="L105" s="44">
        <f t="shared" si="161"/>
        <v>6500</v>
      </c>
      <c r="M105" s="44">
        <f t="shared" si="162"/>
        <v>32500</v>
      </c>
      <c r="N105" s="44">
        <v>26000</v>
      </c>
      <c r="O105" s="44">
        <v>3250</v>
      </c>
      <c r="P105" s="44">
        <v>3250</v>
      </c>
      <c r="Q105" s="44">
        <f t="shared" si="163"/>
        <v>32500</v>
      </c>
      <c r="R105" s="50">
        <f aca="true" t="shared" si="169" ref="R105:T105">J105-N105</f>
        <v>26000</v>
      </c>
      <c r="S105" s="50">
        <f t="shared" si="169"/>
        <v>3250</v>
      </c>
      <c r="T105" s="50">
        <f t="shared" si="169"/>
        <v>3250</v>
      </c>
    </row>
    <row r="106" spans="2:20" s="3" customFormat="1" ht="19.5" customHeight="1">
      <c r="B106" s="65" t="s">
        <v>117</v>
      </c>
      <c r="C106" s="66">
        <v>53</v>
      </c>
      <c r="D106" s="44">
        <v>100</v>
      </c>
      <c r="E106" s="44">
        <v>100</v>
      </c>
      <c r="F106" s="44"/>
      <c r="G106" s="44"/>
      <c r="H106" s="44">
        <v>650</v>
      </c>
      <c r="I106" s="44">
        <f t="shared" si="158"/>
        <v>65000</v>
      </c>
      <c r="J106" s="44">
        <f t="shared" si="159"/>
        <v>52000</v>
      </c>
      <c r="K106" s="44">
        <f t="shared" si="160"/>
        <v>6500</v>
      </c>
      <c r="L106" s="44">
        <f t="shared" si="161"/>
        <v>6500</v>
      </c>
      <c r="M106" s="44">
        <f t="shared" si="162"/>
        <v>32500</v>
      </c>
      <c r="N106" s="44">
        <v>26000</v>
      </c>
      <c r="O106" s="44">
        <v>3250</v>
      </c>
      <c r="P106" s="44">
        <v>3250</v>
      </c>
      <c r="Q106" s="44">
        <f t="shared" si="163"/>
        <v>32500</v>
      </c>
      <c r="R106" s="50">
        <f aca="true" t="shared" si="170" ref="R106:T106">J106-N106</f>
        <v>26000</v>
      </c>
      <c r="S106" s="50">
        <f t="shared" si="170"/>
        <v>3250</v>
      </c>
      <c r="T106" s="50">
        <f t="shared" si="170"/>
        <v>3250</v>
      </c>
    </row>
    <row r="107" spans="2:20" s="3" customFormat="1" ht="19.5" customHeight="1">
      <c r="B107" s="65" t="s">
        <v>118</v>
      </c>
      <c r="C107" s="66">
        <v>45</v>
      </c>
      <c r="D107" s="44">
        <v>100</v>
      </c>
      <c r="E107" s="44">
        <v>100</v>
      </c>
      <c r="F107" s="44"/>
      <c r="G107" s="44"/>
      <c r="H107" s="44">
        <v>650</v>
      </c>
      <c r="I107" s="44">
        <f t="shared" si="158"/>
        <v>65000</v>
      </c>
      <c r="J107" s="44">
        <f t="shared" si="159"/>
        <v>52000</v>
      </c>
      <c r="K107" s="44">
        <f t="shared" si="160"/>
        <v>6500</v>
      </c>
      <c r="L107" s="44">
        <f t="shared" si="161"/>
        <v>6500</v>
      </c>
      <c r="M107" s="44">
        <f t="shared" si="162"/>
        <v>32500</v>
      </c>
      <c r="N107" s="44">
        <v>26000</v>
      </c>
      <c r="O107" s="44">
        <v>3250</v>
      </c>
      <c r="P107" s="44">
        <v>3250</v>
      </c>
      <c r="Q107" s="44">
        <f t="shared" si="163"/>
        <v>32500</v>
      </c>
      <c r="R107" s="50">
        <f aca="true" t="shared" si="171" ref="R107:T107">J107-N107</f>
        <v>26000</v>
      </c>
      <c r="S107" s="50">
        <f t="shared" si="171"/>
        <v>3250</v>
      </c>
      <c r="T107" s="50">
        <f t="shared" si="171"/>
        <v>3250</v>
      </c>
    </row>
    <row r="108" spans="2:20" s="27" customFormat="1" ht="19.5" customHeight="1">
      <c r="B108" s="51" t="s">
        <v>119</v>
      </c>
      <c r="C108" s="52">
        <f aca="true" t="shared" si="172" ref="C108:G108">SUM(C109:C117)</f>
        <v>736</v>
      </c>
      <c r="D108" s="52">
        <f t="shared" si="172"/>
        <v>1066</v>
      </c>
      <c r="E108" s="52">
        <f t="shared" si="172"/>
        <v>1061</v>
      </c>
      <c r="F108" s="52">
        <f t="shared" si="172"/>
        <v>4</v>
      </c>
      <c r="G108" s="52">
        <f t="shared" si="172"/>
        <v>1</v>
      </c>
      <c r="H108" s="52"/>
      <c r="I108" s="52">
        <f aca="true" t="shared" si="173" ref="I108:T108">SUM(I109:I117)</f>
        <v>744885</v>
      </c>
      <c r="J108" s="52">
        <f t="shared" si="173"/>
        <v>600955</v>
      </c>
      <c r="K108" s="52">
        <f t="shared" si="173"/>
        <v>71965</v>
      </c>
      <c r="L108" s="52">
        <f t="shared" si="173"/>
        <v>71965</v>
      </c>
      <c r="M108" s="52">
        <f t="shared" si="173"/>
        <v>359825</v>
      </c>
      <c r="N108" s="52">
        <f t="shared" si="173"/>
        <v>287860</v>
      </c>
      <c r="O108" s="52">
        <f t="shared" si="173"/>
        <v>35982.5</v>
      </c>
      <c r="P108" s="52">
        <f t="shared" si="173"/>
        <v>35982.5</v>
      </c>
      <c r="Q108" s="52">
        <f t="shared" si="173"/>
        <v>385060</v>
      </c>
      <c r="R108" s="52">
        <f t="shared" si="173"/>
        <v>313095</v>
      </c>
      <c r="S108" s="52">
        <f t="shared" si="173"/>
        <v>35982.5</v>
      </c>
      <c r="T108" s="52">
        <f t="shared" si="173"/>
        <v>35982.5</v>
      </c>
    </row>
    <row r="109" spans="2:20" s="3" customFormat="1" ht="19.5" customHeight="1">
      <c r="B109" s="67" t="s">
        <v>120</v>
      </c>
      <c r="C109" s="68">
        <v>392</v>
      </c>
      <c r="D109" s="68">
        <v>388</v>
      </c>
      <c r="E109" s="43">
        <v>388</v>
      </c>
      <c r="F109" s="68"/>
      <c r="G109" s="44"/>
      <c r="H109" s="44">
        <v>650</v>
      </c>
      <c r="I109" s="44">
        <f aca="true" t="shared" si="174" ref="I109:I117">SUM(J109:L109)</f>
        <v>277435</v>
      </c>
      <c r="J109" s="44">
        <f>ROUND(E109*H109*0.8,2)+25235</f>
        <v>226995</v>
      </c>
      <c r="K109" s="44">
        <f aca="true" t="shared" si="175" ref="K109:K116">ROUND(E109*H109*0.1,2)</f>
        <v>25220</v>
      </c>
      <c r="L109" s="44">
        <f aca="true" t="shared" si="176" ref="L109:L116">ROUND(E109*H109*0.1,2)</f>
        <v>25220</v>
      </c>
      <c r="M109" s="44">
        <f aca="true" t="shared" si="177" ref="M109:M117">SUM(N109:P109)</f>
        <v>126100</v>
      </c>
      <c r="N109" s="44">
        <v>100880</v>
      </c>
      <c r="O109" s="44">
        <v>12610</v>
      </c>
      <c r="P109" s="44">
        <v>12610</v>
      </c>
      <c r="Q109" s="44">
        <f aca="true" t="shared" si="178" ref="Q109:Q117">SUM(R109:T109)</f>
        <v>151335</v>
      </c>
      <c r="R109" s="50">
        <f aca="true" t="shared" si="179" ref="R109:T109">J109-N109</f>
        <v>126115</v>
      </c>
      <c r="S109" s="50">
        <f t="shared" si="179"/>
        <v>12610</v>
      </c>
      <c r="T109" s="50">
        <f t="shared" si="179"/>
        <v>12610</v>
      </c>
    </row>
    <row r="110" spans="2:231" s="3" customFormat="1" ht="19.5" customHeight="1">
      <c r="B110" s="67" t="s">
        <v>121</v>
      </c>
      <c r="C110" s="68"/>
      <c r="D110" s="68">
        <v>4</v>
      </c>
      <c r="E110" s="43"/>
      <c r="F110" s="43">
        <f>D110</f>
        <v>4</v>
      </c>
      <c r="G110" s="44"/>
      <c r="H110" s="44">
        <v>6000</v>
      </c>
      <c r="I110" s="44">
        <f t="shared" si="174"/>
        <v>24000</v>
      </c>
      <c r="J110" s="44">
        <f>ROUND(F110*H110*0.8,2)</f>
        <v>19200</v>
      </c>
      <c r="K110" s="44">
        <f>ROUND(F110*H110*0.1,2)</f>
        <v>2400</v>
      </c>
      <c r="L110" s="44">
        <f>ROUND(F110*H110*0.1,2)</f>
        <v>2400</v>
      </c>
      <c r="M110" s="44">
        <f t="shared" si="177"/>
        <v>12000</v>
      </c>
      <c r="N110" s="44">
        <v>9600</v>
      </c>
      <c r="O110" s="44">
        <v>1200</v>
      </c>
      <c r="P110" s="44">
        <v>1200</v>
      </c>
      <c r="Q110" s="44">
        <f t="shared" si="178"/>
        <v>12000</v>
      </c>
      <c r="R110" s="50">
        <f aca="true" t="shared" si="180" ref="R110:T110">J110-N110</f>
        <v>9600</v>
      </c>
      <c r="S110" s="50">
        <f t="shared" si="180"/>
        <v>1200</v>
      </c>
      <c r="T110" s="50">
        <f t="shared" si="180"/>
        <v>1200</v>
      </c>
      <c r="HT110" s="31"/>
      <c r="HU110" s="31"/>
      <c r="HV110" s="31"/>
      <c r="HW110" s="31"/>
    </row>
    <row r="111" spans="2:20" s="3" customFormat="1" ht="19.5" customHeight="1">
      <c r="B111" s="67" t="s">
        <v>122</v>
      </c>
      <c r="C111" s="68">
        <v>177</v>
      </c>
      <c r="D111" s="68">
        <v>173</v>
      </c>
      <c r="E111" s="43">
        <v>173</v>
      </c>
      <c r="F111" s="68"/>
      <c r="G111" s="44"/>
      <c r="H111" s="44">
        <v>650</v>
      </c>
      <c r="I111" s="44">
        <f t="shared" si="174"/>
        <v>112450</v>
      </c>
      <c r="J111" s="44">
        <f aca="true" t="shared" si="181" ref="J111:J116">ROUND(E111*H111*0.8,2)</f>
        <v>89960</v>
      </c>
      <c r="K111" s="44">
        <f t="shared" si="175"/>
        <v>11245</v>
      </c>
      <c r="L111" s="44">
        <f t="shared" si="176"/>
        <v>11245</v>
      </c>
      <c r="M111" s="44">
        <f t="shared" si="177"/>
        <v>56225</v>
      </c>
      <c r="N111" s="44">
        <v>44980</v>
      </c>
      <c r="O111" s="44">
        <v>5622.5</v>
      </c>
      <c r="P111" s="44">
        <v>5622.5</v>
      </c>
      <c r="Q111" s="44">
        <f t="shared" si="178"/>
        <v>56225</v>
      </c>
      <c r="R111" s="50">
        <f aca="true" t="shared" si="182" ref="R111:T111">J111-N111</f>
        <v>44980</v>
      </c>
      <c r="S111" s="50">
        <f t="shared" si="182"/>
        <v>5622.5</v>
      </c>
      <c r="T111" s="50">
        <f t="shared" si="182"/>
        <v>5622.5</v>
      </c>
    </row>
    <row r="112" spans="2:20" s="3" customFormat="1" ht="19.5" customHeight="1">
      <c r="B112" s="67" t="s">
        <v>123</v>
      </c>
      <c r="C112" s="68">
        <v>21</v>
      </c>
      <c r="D112" s="44">
        <v>100</v>
      </c>
      <c r="E112" s="43">
        <f aca="true" t="shared" si="183" ref="E112:E116">D112</f>
        <v>100</v>
      </c>
      <c r="F112" s="44"/>
      <c r="G112" s="44"/>
      <c r="H112" s="44">
        <v>650</v>
      </c>
      <c r="I112" s="44">
        <f t="shared" si="174"/>
        <v>65000</v>
      </c>
      <c r="J112" s="44">
        <f t="shared" si="181"/>
        <v>52000</v>
      </c>
      <c r="K112" s="44">
        <f t="shared" si="175"/>
        <v>6500</v>
      </c>
      <c r="L112" s="44">
        <f t="shared" si="176"/>
        <v>6500</v>
      </c>
      <c r="M112" s="44">
        <f t="shared" si="177"/>
        <v>32500</v>
      </c>
      <c r="N112" s="44">
        <v>26000</v>
      </c>
      <c r="O112" s="44">
        <v>3250</v>
      </c>
      <c r="P112" s="44">
        <v>3250</v>
      </c>
      <c r="Q112" s="44">
        <f t="shared" si="178"/>
        <v>32500</v>
      </c>
      <c r="R112" s="50">
        <f aca="true" t="shared" si="184" ref="R112:T112">J112-N112</f>
        <v>26000</v>
      </c>
      <c r="S112" s="50">
        <f t="shared" si="184"/>
        <v>3250</v>
      </c>
      <c r="T112" s="50">
        <f t="shared" si="184"/>
        <v>3250</v>
      </c>
    </row>
    <row r="113" spans="2:20" s="3" customFormat="1" ht="19.5" customHeight="1">
      <c r="B113" s="67" t="s">
        <v>124</v>
      </c>
      <c r="C113" s="68">
        <v>42</v>
      </c>
      <c r="D113" s="44">
        <v>100</v>
      </c>
      <c r="E113" s="43">
        <f t="shared" si="183"/>
        <v>100</v>
      </c>
      <c r="F113" s="44"/>
      <c r="G113" s="44"/>
      <c r="H113" s="44">
        <v>650</v>
      </c>
      <c r="I113" s="44">
        <f t="shared" si="174"/>
        <v>65000</v>
      </c>
      <c r="J113" s="44">
        <f t="shared" si="181"/>
        <v>52000</v>
      </c>
      <c r="K113" s="44">
        <f t="shared" si="175"/>
        <v>6500</v>
      </c>
      <c r="L113" s="44">
        <f t="shared" si="176"/>
        <v>6500</v>
      </c>
      <c r="M113" s="44">
        <f t="shared" si="177"/>
        <v>32500</v>
      </c>
      <c r="N113" s="44">
        <v>26000</v>
      </c>
      <c r="O113" s="44">
        <v>3250</v>
      </c>
      <c r="P113" s="44">
        <v>3250</v>
      </c>
      <c r="Q113" s="44">
        <f t="shared" si="178"/>
        <v>32500</v>
      </c>
      <c r="R113" s="50">
        <f aca="true" t="shared" si="185" ref="R113:T113">J113-N113</f>
        <v>26000</v>
      </c>
      <c r="S113" s="50">
        <f t="shared" si="185"/>
        <v>3250</v>
      </c>
      <c r="T113" s="50">
        <f t="shared" si="185"/>
        <v>3250</v>
      </c>
    </row>
    <row r="114" spans="2:20" s="3" customFormat="1" ht="19.5" customHeight="1">
      <c r="B114" s="67" t="s">
        <v>125</v>
      </c>
      <c r="C114" s="68">
        <v>24</v>
      </c>
      <c r="D114" s="44">
        <v>100</v>
      </c>
      <c r="E114" s="43">
        <f t="shared" si="183"/>
        <v>100</v>
      </c>
      <c r="F114" s="44"/>
      <c r="G114" s="44"/>
      <c r="H114" s="44">
        <v>650</v>
      </c>
      <c r="I114" s="44">
        <f t="shared" si="174"/>
        <v>65000</v>
      </c>
      <c r="J114" s="44">
        <f t="shared" si="181"/>
        <v>52000</v>
      </c>
      <c r="K114" s="44">
        <f t="shared" si="175"/>
        <v>6500</v>
      </c>
      <c r="L114" s="44">
        <f t="shared" si="176"/>
        <v>6500</v>
      </c>
      <c r="M114" s="44">
        <f t="shared" si="177"/>
        <v>32500</v>
      </c>
      <c r="N114" s="44">
        <v>26000</v>
      </c>
      <c r="O114" s="44">
        <v>3250</v>
      </c>
      <c r="P114" s="44">
        <v>3250</v>
      </c>
      <c r="Q114" s="44">
        <f t="shared" si="178"/>
        <v>32500</v>
      </c>
      <c r="R114" s="50">
        <f aca="true" t="shared" si="186" ref="R114:T114">J114-N114</f>
        <v>26000</v>
      </c>
      <c r="S114" s="50">
        <f t="shared" si="186"/>
        <v>3250</v>
      </c>
      <c r="T114" s="50">
        <f t="shared" si="186"/>
        <v>3250</v>
      </c>
    </row>
    <row r="115" spans="2:20" s="3" customFormat="1" ht="19.5" customHeight="1">
      <c r="B115" s="67" t="s">
        <v>126</v>
      </c>
      <c r="C115" s="68">
        <v>60</v>
      </c>
      <c r="D115" s="44">
        <v>100</v>
      </c>
      <c r="E115" s="43">
        <f t="shared" si="183"/>
        <v>100</v>
      </c>
      <c r="F115" s="44"/>
      <c r="G115" s="44"/>
      <c r="H115" s="44">
        <v>650</v>
      </c>
      <c r="I115" s="44">
        <f t="shared" si="174"/>
        <v>65000</v>
      </c>
      <c r="J115" s="44">
        <f t="shared" si="181"/>
        <v>52000</v>
      </c>
      <c r="K115" s="44">
        <f t="shared" si="175"/>
        <v>6500</v>
      </c>
      <c r="L115" s="44">
        <f t="shared" si="176"/>
        <v>6500</v>
      </c>
      <c r="M115" s="44">
        <f t="shared" si="177"/>
        <v>32500</v>
      </c>
      <c r="N115" s="44">
        <v>26000</v>
      </c>
      <c r="O115" s="44">
        <v>3250</v>
      </c>
      <c r="P115" s="44">
        <v>3250</v>
      </c>
      <c r="Q115" s="44">
        <f t="shared" si="178"/>
        <v>32500</v>
      </c>
      <c r="R115" s="50">
        <f aca="true" t="shared" si="187" ref="R115:T115">J115-N115</f>
        <v>26000</v>
      </c>
      <c r="S115" s="50">
        <f t="shared" si="187"/>
        <v>3250</v>
      </c>
      <c r="T115" s="50">
        <f t="shared" si="187"/>
        <v>3250</v>
      </c>
    </row>
    <row r="116" spans="2:20" s="3" customFormat="1" ht="19.5" customHeight="1">
      <c r="B116" s="67" t="s">
        <v>127</v>
      </c>
      <c r="C116" s="68">
        <v>20</v>
      </c>
      <c r="D116" s="44">
        <v>100</v>
      </c>
      <c r="E116" s="43">
        <f t="shared" si="183"/>
        <v>100</v>
      </c>
      <c r="F116" s="44"/>
      <c r="G116" s="44"/>
      <c r="H116" s="44">
        <v>650</v>
      </c>
      <c r="I116" s="44">
        <f t="shared" si="174"/>
        <v>65000</v>
      </c>
      <c r="J116" s="44">
        <f t="shared" si="181"/>
        <v>52000</v>
      </c>
      <c r="K116" s="44">
        <f t="shared" si="175"/>
        <v>6500</v>
      </c>
      <c r="L116" s="44">
        <f t="shared" si="176"/>
        <v>6500</v>
      </c>
      <c r="M116" s="44">
        <f t="shared" si="177"/>
        <v>32500</v>
      </c>
      <c r="N116" s="44">
        <v>26000</v>
      </c>
      <c r="O116" s="44">
        <v>3250</v>
      </c>
      <c r="P116" s="44">
        <v>3250</v>
      </c>
      <c r="Q116" s="44">
        <f t="shared" si="178"/>
        <v>32500</v>
      </c>
      <c r="R116" s="50">
        <f aca="true" t="shared" si="188" ref="R116:T116">J116-N116</f>
        <v>26000</v>
      </c>
      <c r="S116" s="50">
        <f t="shared" si="188"/>
        <v>3250</v>
      </c>
      <c r="T116" s="50">
        <f t="shared" si="188"/>
        <v>3250</v>
      </c>
    </row>
    <row r="117" spans="2:231" s="3" customFormat="1" ht="19.5" customHeight="1">
      <c r="B117" s="67" t="s">
        <v>128</v>
      </c>
      <c r="C117" s="68"/>
      <c r="D117" s="44">
        <v>1</v>
      </c>
      <c r="E117" s="59"/>
      <c r="F117" s="44"/>
      <c r="G117" s="44">
        <v>1</v>
      </c>
      <c r="H117" s="44">
        <v>6000</v>
      </c>
      <c r="I117" s="44">
        <f t="shared" si="174"/>
        <v>6000</v>
      </c>
      <c r="J117" s="44">
        <f>ROUND(G117*H117*0.8,2)</f>
        <v>4800</v>
      </c>
      <c r="K117" s="44">
        <f>ROUND(G117*H117*0.1,2)</f>
        <v>600</v>
      </c>
      <c r="L117" s="44">
        <f>ROUND(G117*H117*0.1,2)</f>
        <v>600</v>
      </c>
      <c r="M117" s="44">
        <f t="shared" si="177"/>
        <v>3000</v>
      </c>
      <c r="N117" s="44">
        <v>2400</v>
      </c>
      <c r="O117" s="44">
        <v>300</v>
      </c>
      <c r="P117" s="44">
        <v>300</v>
      </c>
      <c r="Q117" s="44">
        <f t="shared" si="178"/>
        <v>3000</v>
      </c>
      <c r="R117" s="50">
        <f aca="true" t="shared" si="189" ref="R117:T117">J117-N117</f>
        <v>2400</v>
      </c>
      <c r="S117" s="50">
        <f t="shared" si="189"/>
        <v>300</v>
      </c>
      <c r="T117" s="50">
        <f t="shared" si="189"/>
        <v>300</v>
      </c>
      <c r="HT117" s="31"/>
      <c r="HU117" s="31"/>
      <c r="HV117" s="31"/>
      <c r="HW117" s="31"/>
    </row>
    <row r="118" spans="2:20" s="29" customFormat="1" ht="19.5" customHeight="1">
      <c r="B118" s="69" t="s">
        <v>129</v>
      </c>
      <c r="C118" s="46">
        <f aca="true" t="shared" si="190" ref="C118:G118">SUM(C119:C141)</f>
        <v>3149</v>
      </c>
      <c r="D118" s="46">
        <f t="shared" si="190"/>
        <v>3665</v>
      </c>
      <c r="E118" s="46">
        <f t="shared" si="190"/>
        <v>3653</v>
      </c>
      <c r="F118" s="46">
        <f t="shared" si="190"/>
        <v>11</v>
      </c>
      <c r="G118" s="46">
        <f t="shared" si="190"/>
        <v>1</v>
      </c>
      <c r="H118" s="46"/>
      <c r="I118" s="46">
        <f aca="true" t="shared" si="191" ref="I118:T118">SUM(I119:I141)</f>
        <v>2408750</v>
      </c>
      <c r="J118" s="46">
        <f t="shared" si="191"/>
        <v>1904120</v>
      </c>
      <c r="K118" s="46">
        <f t="shared" si="191"/>
        <v>263755</v>
      </c>
      <c r="L118" s="46">
        <f t="shared" si="191"/>
        <v>240875</v>
      </c>
      <c r="M118" s="46">
        <f t="shared" si="191"/>
        <v>1190075</v>
      </c>
      <c r="N118" s="46">
        <f t="shared" si="191"/>
        <v>952060</v>
      </c>
      <c r="O118" s="46">
        <f t="shared" si="191"/>
        <v>119007.5</v>
      </c>
      <c r="P118" s="46">
        <f t="shared" si="191"/>
        <v>119007.5</v>
      </c>
      <c r="Q118" s="46">
        <f t="shared" si="191"/>
        <v>1218675</v>
      </c>
      <c r="R118" s="46">
        <f t="shared" si="191"/>
        <v>952060</v>
      </c>
      <c r="S118" s="46">
        <f t="shared" si="191"/>
        <v>144747.5</v>
      </c>
      <c r="T118" s="46">
        <f t="shared" si="191"/>
        <v>121867.5</v>
      </c>
    </row>
    <row r="119" spans="2:20" s="3" customFormat="1" ht="19.5" customHeight="1">
      <c r="B119" s="70" t="s">
        <v>130</v>
      </c>
      <c r="C119" s="71">
        <v>1568</v>
      </c>
      <c r="D119" s="71">
        <v>1561</v>
      </c>
      <c r="E119" s="71">
        <v>1561</v>
      </c>
      <c r="F119" s="44"/>
      <c r="G119" s="44"/>
      <c r="H119" s="44">
        <v>650</v>
      </c>
      <c r="I119" s="44">
        <f aca="true" t="shared" si="192" ref="I119:I141">SUM(J119:L119)</f>
        <v>1038050</v>
      </c>
      <c r="J119" s="44">
        <v>849160</v>
      </c>
      <c r="K119" s="44">
        <f>106145-23400</f>
        <v>82745</v>
      </c>
      <c r="L119" s="44">
        <f>106145</f>
        <v>106145</v>
      </c>
      <c r="M119" s="44">
        <f aca="true" t="shared" si="193" ref="M119:M141">SUM(N119:P119)</f>
        <v>530725</v>
      </c>
      <c r="N119" s="44">
        <v>424580</v>
      </c>
      <c r="O119" s="44">
        <v>53072.5</v>
      </c>
      <c r="P119" s="44">
        <v>53072.5</v>
      </c>
      <c r="Q119" s="44">
        <f aca="true" t="shared" si="194" ref="Q119:Q141">SUM(R119:T119)</f>
        <v>507325</v>
      </c>
      <c r="R119" s="50">
        <f aca="true" t="shared" si="195" ref="R119:T119">J119-N119</f>
        <v>424580</v>
      </c>
      <c r="S119" s="50">
        <f t="shared" si="195"/>
        <v>29672.5</v>
      </c>
      <c r="T119" s="50">
        <f t="shared" si="195"/>
        <v>53072.5</v>
      </c>
    </row>
    <row r="120" spans="2:231" s="3" customFormat="1" ht="19.5" customHeight="1">
      <c r="B120" s="70" t="s">
        <v>131</v>
      </c>
      <c r="C120" s="71"/>
      <c r="D120" s="71">
        <v>6</v>
      </c>
      <c r="E120" s="71"/>
      <c r="F120" s="44">
        <v>6</v>
      </c>
      <c r="G120" s="44"/>
      <c r="H120" s="44">
        <v>6000</v>
      </c>
      <c r="I120" s="44">
        <f t="shared" si="192"/>
        <v>36000</v>
      </c>
      <c r="J120" s="44">
        <f aca="true" t="shared" si="196" ref="J120:J125">ROUND(F120*H120*0.8,2)</f>
        <v>28800</v>
      </c>
      <c r="K120" s="44">
        <f aca="true" t="shared" si="197" ref="K120:K125">ROUND(F120*H120*0.1,2)</f>
        <v>3600</v>
      </c>
      <c r="L120" s="44">
        <f aca="true" t="shared" si="198" ref="L120:L125">ROUND(F120*H120*0.1,2)</f>
        <v>3600</v>
      </c>
      <c r="M120" s="44">
        <f t="shared" si="193"/>
        <v>18000</v>
      </c>
      <c r="N120" s="44">
        <v>14400</v>
      </c>
      <c r="O120" s="44">
        <v>1800</v>
      </c>
      <c r="P120" s="44">
        <v>1800</v>
      </c>
      <c r="Q120" s="44">
        <f t="shared" si="194"/>
        <v>18000</v>
      </c>
      <c r="R120" s="50">
        <f aca="true" t="shared" si="199" ref="R120:T120">J120-N120</f>
        <v>14400</v>
      </c>
      <c r="S120" s="50">
        <f t="shared" si="199"/>
        <v>1800</v>
      </c>
      <c r="T120" s="50">
        <f t="shared" si="199"/>
        <v>1800</v>
      </c>
      <c r="HT120" s="31"/>
      <c r="HU120" s="31"/>
      <c r="HV120" s="31"/>
      <c r="HW120" s="31"/>
    </row>
    <row r="121" spans="2:231" s="3" customFormat="1" ht="19.5" customHeight="1">
      <c r="B121" s="70" t="s">
        <v>132</v>
      </c>
      <c r="C121" s="71"/>
      <c r="D121" s="71">
        <v>1</v>
      </c>
      <c r="E121" s="59"/>
      <c r="F121" s="44"/>
      <c r="G121" s="44">
        <v>1</v>
      </c>
      <c r="H121" s="44">
        <v>6000</v>
      </c>
      <c r="I121" s="44">
        <f t="shared" si="192"/>
        <v>6000</v>
      </c>
      <c r="J121" s="44">
        <f>ROUND(G121*H121*0.8,2)</f>
        <v>4800</v>
      </c>
      <c r="K121" s="44">
        <f>ROUND(G121*H121*0.1,2)</f>
        <v>600</v>
      </c>
      <c r="L121" s="44">
        <f>ROUND(G121*H121*0.1,2)</f>
        <v>600</v>
      </c>
      <c r="M121" s="44">
        <f t="shared" si="193"/>
        <v>3000</v>
      </c>
      <c r="N121" s="44">
        <v>2400</v>
      </c>
      <c r="O121" s="44">
        <v>300</v>
      </c>
      <c r="P121" s="44">
        <v>300</v>
      </c>
      <c r="Q121" s="44">
        <f t="shared" si="194"/>
        <v>3000</v>
      </c>
      <c r="R121" s="50">
        <f aca="true" t="shared" si="200" ref="R121:T121">J121-N121</f>
        <v>2400</v>
      </c>
      <c r="S121" s="50">
        <f t="shared" si="200"/>
        <v>300</v>
      </c>
      <c r="T121" s="50">
        <f t="shared" si="200"/>
        <v>300</v>
      </c>
      <c r="HT121" s="31"/>
      <c r="HU121" s="31"/>
      <c r="HV121" s="31"/>
      <c r="HW121" s="31"/>
    </row>
    <row r="122" spans="2:20" s="3" customFormat="1" ht="19.5" customHeight="1">
      <c r="B122" s="70" t="s">
        <v>133</v>
      </c>
      <c r="C122" s="71">
        <v>79</v>
      </c>
      <c r="D122" s="44">
        <v>100</v>
      </c>
      <c r="E122" s="44">
        <v>100</v>
      </c>
      <c r="F122" s="44"/>
      <c r="G122" s="44"/>
      <c r="H122" s="44">
        <v>650</v>
      </c>
      <c r="I122" s="44">
        <f t="shared" si="192"/>
        <v>65000</v>
      </c>
      <c r="J122" s="44">
        <f aca="true" t="shared" si="201" ref="J122:J128">ROUND(E122*H122*0.8,2)</f>
        <v>52000</v>
      </c>
      <c r="K122" s="44">
        <f aca="true" t="shared" si="202" ref="K122:K128">ROUND(E122*H122*0.1,2)</f>
        <v>6500</v>
      </c>
      <c r="L122" s="44">
        <f aca="true" t="shared" si="203" ref="L122:L128">ROUND(E122*H122*0.1,2)</f>
        <v>6500</v>
      </c>
      <c r="M122" s="44">
        <f t="shared" si="193"/>
        <v>32500</v>
      </c>
      <c r="N122" s="44">
        <v>26000</v>
      </c>
      <c r="O122" s="44">
        <v>3250</v>
      </c>
      <c r="P122" s="44">
        <v>3250</v>
      </c>
      <c r="Q122" s="44">
        <f t="shared" si="194"/>
        <v>32500</v>
      </c>
      <c r="R122" s="50">
        <f aca="true" t="shared" si="204" ref="R122:T122">J122-N122</f>
        <v>26000</v>
      </c>
      <c r="S122" s="50">
        <f t="shared" si="204"/>
        <v>3250</v>
      </c>
      <c r="T122" s="50">
        <f t="shared" si="204"/>
        <v>3250</v>
      </c>
    </row>
    <row r="123" spans="2:231" s="3" customFormat="1" ht="19.5" customHeight="1">
      <c r="B123" s="70" t="s">
        <v>134</v>
      </c>
      <c r="C123" s="71"/>
      <c r="D123" s="44">
        <v>1</v>
      </c>
      <c r="E123" s="44"/>
      <c r="F123" s="44">
        <v>1</v>
      </c>
      <c r="G123" s="44"/>
      <c r="H123" s="44">
        <v>6000</v>
      </c>
      <c r="I123" s="44">
        <f t="shared" si="192"/>
        <v>6000</v>
      </c>
      <c r="J123" s="44">
        <f t="shared" si="196"/>
        <v>4800</v>
      </c>
      <c r="K123" s="44">
        <f t="shared" si="197"/>
        <v>600</v>
      </c>
      <c r="L123" s="44">
        <f t="shared" si="198"/>
        <v>600</v>
      </c>
      <c r="M123" s="44">
        <f t="shared" si="193"/>
        <v>3000</v>
      </c>
      <c r="N123" s="44">
        <v>2400</v>
      </c>
      <c r="O123" s="44">
        <v>300</v>
      </c>
      <c r="P123" s="44">
        <v>300</v>
      </c>
      <c r="Q123" s="44">
        <f t="shared" si="194"/>
        <v>3000</v>
      </c>
      <c r="R123" s="50">
        <f aca="true" t="shared" si="205" ref="R123:T123">J123-N123</f>
        <v>2400</v>
      </c>
      <c r="S123" s="50">
        <f t="shared" si="205"/>
        <v>300</v>
      </c>
      <c r="T123" s="50">
        <f t="shared" si="205"/>
        <v>300</v>
      </c>
      <c r="HT123" s="31"/>
      <c r="HU123" s="31"/>
      <c r="HV123" s="31"/>
      <c r="HW123" s="31"/>
    </row>
    <row r="124" spans="2:20" s="3" customFormat="1" ht="19.5" customHeight="1">
      <c r="B124" s="70" t="s">
        <v>135</v>
      </c>
      <c r="C124" s="71">
        <v>507</v>
      </c>
      <c r="D124" s="71">
        <v>506</v>
      </c>
      <c r="E124" s="71">
        <v>506</v>
      </c>
      <c r="F124" s="44"/>
      <c r="G124" s="44"/>
      <c r="H124" s="44">
        <v>650</v>
      </c>
      <c r="I124" s="44">
        <f t="shared" si="192"/>
        <v>272675</v>
      </c>
      <c r="J124" s="44">
        <v>173160</v>
      </c>
      <c r="K124" s="44">
        <f>21645+53690</f>
        <v>75335</v>
      </c>
      <c r="L124" s="44">
        <f>21645+2535</f>
        <v>24180</v>
      </c>
      <c r="M124" s="44">
        <f t="shared" si="193"/>
        <v>108225</v>
      </c>
      <c r="N124" s="44">
        <v>86580</v>
      </c>
      <c r="O124" s="44">
        <v>10822.5</v>
      </c>
      <c r="P124" s="44">
        <v>10822.5</v>
      </c>
      <c r="Q124" s="44">
        <f t="shared" si="194"/>
        <v>164450</v>
      </c>
      <c r="R124" s="50">
        <f aca="true" t="shared" si="206" ref="R124:T124">J124-N124</f>
        <v>86580</v>
      </c>
      <c r="S124" s="50">
        <f t="shared" si="206"/>
        <v>64512.5</v>
      </c>
      <c r="T124" s="50">
        <f t="shared" si="206"/>
        <v>13357.5</v>
      </c>
    </row>
    <row r="125" spans="2:231" s="3" customFormat="1" ht="19.5" customHeight="1">
      <c r="B125" s="70" t="s">
        <v>136</v>
      </c>
      <c r="C125" s="71"/>
      <c r="D125" s="44">
        <v>1</v>
      </c>
      <c r="E125" s="59"/>
      <c r="F125" s="44">
        <v>1</v>
      </c>
      <c r="G125" s="44"/>
      <c r="H125" s="44">
        <v>6000</v>
      </c>
      <c r="I125" s="44">
        <f t="shared" si="192"/>
        <v>6000</v>
      </c>
      <c r="J125" s="44">
        <f t="shared" si="196"/>
        <v>4800</v>
      </c>
      <c r="K125" s="44">
        <f t="shared" si="197"/>
        <v>600</v>
      </c>
      <c r="L125" s="44">
        <f t="shared" si="198"/>
        <v>600</v>
      </c>
      <c r="M125" s="44">
        <f t="shared" si="193"/>
        <v>3000</v>
      </c>
      <c r="N125" s="44">
        <v>2400</v>
      </c>
      <c r="O125" s="44">
        <v>300</v>
      </c>
      <c r="P125" s="44">
        <v>300</v>
      </c>
      <c r="Q125" s="44">
        <f t="shared" si="194"/>
        <v>3000</v>
      </c>
      <c r="R125" s="50">
        <f aca="true" t="shared" si="207" ref="R125:T125">J125-N125</f>
        <v>2400</v>
      </c>
      <c r="S125" s="50">
        <f t="shared" si="207"/>
        <v>300</v>
      </c>
      <c r="T125" s="50">
        <f t="shared" si="207"/>
        <v>300</v>
      </c>
      <c r="HT125" s="31"/>
      <c r="HU125" s="31"/>
      <c r="HV125" s="31"/>
      <c r="HW125" s="31"/>
    </row>
    <row r="126" spans="2:20" s="3" customFormat="1" ht="19.5" customHeight="1">
      <c r="B126" s="70" t="s">
        <v>137</v>
      </c>
      <c r="C126" s="71">
        <v>89</v>
      </c>
      <c r="D126" s="71">
        <v>101</v>
      </c>
      <c r="E126" s="71">
        <f>D126</f>
        <v>101</v>
      </c>
      <c r="F126" s="44"/>
      <c r="G126" s="44"/>
      <c r="H126" s="44">
        <v>650</v>
      </c>
      <c r="I126" s="44">
        <f t="shared" si="192"/>
        <v>65650</v>
      </c>
      <c r="J126" s="44">
        <f t="shared" si="201"/>
        <v>52520</v>
      </c>
      <c r="K126" s="44">
        <f t="shared" si="202"/>
        <v>6565</v>
      </c>
      <c r="L126" s="44">
        <f t="shared" si="203"/>
        <v>6565</v>
      </c>
      <c r="M126" s="44">
        <f t="shared" si="193"/>
        <v>32825</v>
      </c>
      <c r="N126" s="44">
        <v>26260</v>
      </c>
      <c r="O126" s="44">
        <v>3282.5</v>
      </c>
      <c r="P126" s="44">
        <v>3282.5</v>
      </c>
      <c r="Q126" s="44">
        <f t="shared" si="194"/>
        <v>32825</v>
      </c>
      <c r="R126" s="50">
        <f aca="true" t="shared" si="208" ref="R126:T126">J126-N126</f>
        <v>26260</v>
      </c>
      <c r="S126" s="50">
        <f t="shared" si="208"/>
        <v>3282.5</v>
      </c>
      <c r="T126" s="50">
        <f t="shared" si="208"/>
        <v>3282.5</v>
      </c>
    </row>
    <row r="127" spans="2:20" s="3" customFormat="1" ht="19.5" customHeight="1">
      <c r="B127" s="70" t="s">
        <v>138</v>
      </c>
      <c r="C127" s="71">
        <v>56</v>
      </c>
      <c r="D127" s="44">
        <v>100</v>
      </c>
      <c r="E127" s="44">
        <v>100</v>
      </c>
      <c r="F127" s="44"/>
      <c r="G127" s="44"/>
      <c r="H127" s="44">
        <v>650</v>
      </c>
      <c r="I127" s="44">
        <f t="shared" si="192"/>
        <v>65000</v>
      </c>
      <c r="J127" s="44">
        <f t="shared" si="201"/>
        <v>52000</v>
      </c>
      <c r="K127" s="44">
        <f t="shared" si="202"/>
        <v>6500</v>
      </c>
      <c r="L127" s="44">
        <f t="shared" si="203"/>
        <v>6500</v>
      </c>
      <c r="M127" s="44">
        <f t="shared" si="193"/>
        <v>32500</v>
      </c>
      <c r="N127" s="44">
        <v>26000</v>
      </c>
      <c r="O127" s="44">
        <v>3250</v>
      </c>
      <c r="P127" s="44">
        <v>3250</v>
      </c>
      <c r="Q127" s="44">
        <f t="shared" si="194"/>
        <v>32500</v>
      </c>
      <c r="R127" s="50">
        <f aca="true" t="shared" si="209" ref="R127:T127">J127-N127</f>
        <v>26000</v>
      </c>
      <c r="S127" s="50">
        <f t="shared" si="209"/>
        <v>3250</v>
      </c>
      <c r="T127" s="50">
        <f t="shared" si="209"/>
        <v>3250</v>
      </c>
    </row>
    <row r="128" spans="2:20" s="3" customFormat="1" ht="19.5" customHeight="1">
      <c r="B128" s="70" t="s">
        <v>139</v>
      </c>
      <c r="C128" s="71">
        <v>82</v>
      </c>
      <c r="D128" s="44">
        <v>100</v>
      </c>
      <c r="E128" s="44">
        <v>100</v>
      </c>
      <c r="F128" s="44"/>
      <c r="G128" s="44"/>
      <c r="H128" s="44">
        <v>650</v>
      </c>
      <c r="I128" s="44">
        <f t="shared" si="192"/>
        <v>65000</v>
      </c>
      <c r="J128" s="44">
        <f t="shared" si="201"/>
        <v>52000</v>
      </c>
      <c r="K128" s="44">
        <f t="shared" si="202"/>
        <v>6500</v>
      </c>
      <c r="L128" s="44">
        <f t="shared" si="203"/>
        <v>6500</v>
      </c>
      <c r="M128" s="44">
        <f t="shared" si="193"/>
        <v>32500</v>
      </c>
      <c r="N128" s="44">
        <v>26000</v>
      </c>
      <c r="O128" s="44">
        <v>3250</v>
      </c>
      <c r="P128" s="44">
        <v>3250</v>
      </c>
      <c r="Q128" s="44">
        <f t="shared" si="194"/>
        <v>32500</v>
      </c>
      <c r="R128" s="50">
        <f aca="true" t="shared" si="210" ref="R128:T128">J128-N128</f>
        <v>26000</v>
      </c>
      <c r="S128" s="50">
        <f t="shared" si="210"/>
        <v>3250</v>
      </c>
      <c r="T128" s="50">
        <f t="shared" si="210"/>
        <v>3250</v>
      </c>
    </row>
    <row r="129" spans="2:231" s="3" customFormat="1" ht="19.5" customHeight="1">
      <c r="B129" s="70" t="s">
        <v>140</v>
      </c>
      <c r="C129" s="71"/>
      <c r="D129" s="44">
        <v>1</v>
      </c>
      <c r="E129" s="44"/>
      <c r="F129" s="44">
        <v>1</v>
      </c>
      <c r="G129" s="44"/>
      <c r="H129" s="44">
        <v>6000</v>
      </c>
      <c r="I129" s="44">
        <f t="shared" si="192"/>
        <v>6000</v>
      </c>
      <c r="J129" s="44">
        <f>ROUND(F129*H129*0.8,2)</f>
        <v>4800</v>
      </c>
      <c r="K129" s="44">
        <f>ROUND(F129*H129*0.1,2)</f>
        <v>600</v>
      </c>
      <c r="L129" s="44">
        <f>ROUND(F129*H129*0.1,2)</f>
        <v>600</v>
      </c>
      <c r="M129" s="44">
        <f t="shared" si="193"/>
        <v>3000</v>
      </c>
      <c r="N129" s="44">
        <v>2400</v>
      </c>
      <c r="O129" s="44">
        <v>300</v>
      </c>
      <c r="P129" s="44">
        <v>300</v>
      </c>
      <c r="Q129" s="44">
        <f t="shared" si="194"/>
        <v>3000</v>
      </c>
      <c r="R129" s="50">
        <f aca="true" t="shared" si="211" ref="R129:T129">J129-N129</f>
        <v>2400</v>
      </c>
      <c r="S129" s="50">
        <f t="shared" si="211"/>
        <v>300</v>
      </c>
      <c r="T129" s="50">
        <f t="shared" si="211"/>
        <v>300</v>
      </c>
      <c r="HT129" s="31"/>
      <c r="HU129" s="31"/>
      <c r="HV129" s="31"/>
      <c r="HW129" s="31"/>
    </row>
    <row r="130" spans="2:20" s="3" customFormat="1" ht="19.5" customHeight="1">
      <c r="B130" s="70" t="s">
        <v>141</v>
      </c>
      <c r="C130" s="71">
        <v>49</v>
      </c>
      <c r="D130" s="44">
        <v>100</v>
      </c>
      <c r="E130" s="44">
        <v>100</v>
      </c>
      <c r="F130" s="44"/>
      <c r="G130" s="44"/>
      <c r="H130" s="44">
        <v>650</v>
      </c>
      <c r="I130" s="44">
        <f t="shared" si="192"/>
        <v>65000</v>
      </c>
      <c r="J130" s="44">
        <f aca="true" t="shared" si="212" ref="J130:J133">ROUND(E130*H130*0.8,2)</f>
        <v>52000</v>
      </c>
      <c r="K130" s="44">
        <f aca="true" t="shared" si="213" ref="K130:K133">ROUND(E130*H130*0.1,2)</f>
        <v>6500</v>
      </c>
      <c r="L130" s="44">
        <f aca="true" t="shared" si="214" ref="L130:L133">ROUND(E130*H130*0.1,2)</f>
        <v>6500</v>
      </c>
      <c r="M130" s="44">
        <f t="shared" si="193"/>
        <v>32500</v>
      </c>
      <c r="N130" s="44">
        <v>26000</v>
      </c>
      <c r="O130" s="44">
        <v>3250</v>
      </c>
      <c r="P130" s="44">
        <v>3250</v>
      </c>
      <c r="Q130" s="44">
        <f t="shared" si="194"/>
        <v>32500</v>
      </c>
      <c r="R130" s="50">
        <f aca="true" t="shared" si="215" ref="R130:T130">J130-N130</f>
        <v>26000</v>
      </c>
      <c r="S130" s="50">
        <f t="shared" si="215"/>
        <v>3250</v>
      </c>
      <c r="T130" s="50">
        <f t="shared" si="215"/>
        <v>3250</v>
      </c>
    </row>
    <row r="131" spans="2:20" s="3" customFormat="1" ht="19.5" customHeight="1">
      <c r="B131" s="70" t="s">
        <v>142</v>
      </c>
      <c r="C131" s="71">
        <v>130</v>
      </c>
      <c r="D131" s="44">
        <v>130</v>
      </c>
      <c r="E131" s="44">
        <v>130</v>
      </c>
      <c r="F131" s="44"/>
      <c r="G131" s="44"/>
      <c r="H131" s="44">
        <v>650</v>
      </c>
      <c r="I131" s="44">
        <f t="shared" si="192"/>
        <v>83850</v>
      </c>
      <c r="J131" s="44">
        <v>66560</v>
      </c>
      <c r="K131" s="44">
        <f>8320+325</f>
        <v>8645</v>
      </c>
      <c r="L131" s="44">
        <f>8320+325</f>
        <v>8645</v>
      </c>
      <c r="M131" s="44">
        <f t="shared" si="193"/>
        <v>41600</v>
      </c>
      <c r="N131" s="44">
        <v>33280</v>
      </c>
      <c r="O131" s="44">
        <v>4160</v>
      </c>
      <c r="P131" s="44">
        <v>4160</v>
      </c>
      <c r="Q131" s="44">
        <f t="shared" si="194"/>
        <v>42250</v>
      </c>
      <c r="R131" s="50">
        <f aca="true" t="shared" si="216" ref="R131:T131">J131-N131</f>
        <v>33280</v>
      </c>
      <c r="S131" s="50">
        <f t="shared" si="216"/>
        <v>4485</v>
      </c>
      <c r="T131" s="50">
        <f t="shared" si="216"/>
        <v>4485</v>
      </c>
    </row>
    <row r="132" spans="2:20" s="3" customFormat="1" ht="19.5" customHeight="1">
      <c r="B132" s="70" t="s">
        <v>143</v>
      </c>
      <c r="C132" s="71">
        <v>28</v>
      </c>
      <c r="D132" s="44">
        <v>100</v>
      </c>
      <c r="E132" s="44">
        <v>100</v>
      </c>
      <c r="F132" s="44"/>
      <c r="G132" s="44"/>
      <c r="H132" s="44">
        <v>650</v>
      </c>
      <c r="I132" s="44">
        <f t="shared" si="192"/>
        <v>65000</v>
      </c>
      <c r="J132" s="44">
        <f t="shared" si="212"/>
        <v>52000</v>
      </c>
      <c r="K132" s="44">
        <f t="shared" si="213"/>
        <v>6500</v>
      </c>
      <c r="L132" s="44">
        <f t="shared" si="214"/>
        <v>6500</v>
      </c>
      <c r="M132" s="44">
        <f t="shared" si="193"/>
        <v>32500</v>
      </c>
      <c r="N132" s="44">
        <v>26000</v>
      </c>
      <c r="O132" s="44">
        <v>3250</v>
      </c>
      <c r="P132" s="44">
        <v>3250</v>
      </c>
      <c r="Q132" s="44">
        <f t="shared" si="194"/>
        <v>32500</v>
      </c>
      <c r="R132" s="50">
        <f aca="true" t="shared" si="217" ref="R132:T132">J132-N132</f>
        <v>26000</v>
      </c>
      <c r="S132" s="50">
        <f t="shared" si="217"/>
        <v>3250</v>
      </c>
      <c r="T132" s="50">
        <f t="shared" si="217"/>
        <v>3250</v>
      </c>
    </row>
    <row r="133" spans="2:20" s="3" customFormat="1" ht="19.5" customHeight="1">
      <c r="B133" s="70" t="s">
        <v>144</v>
      </c>
      <c r="C133" s="71">
        <v>33</v>
      </c>
      <c r="D133" s="44">
        <v>100</v>
      </c>
      <c r="E133" s="44">
        <v>100</v>
      </c>
      <c r="F133" s="44"/>
      <c r="G133" s="44"/>
      <c r="H133" s="44">
        <v>650</v>
      </c>
      <c r="I133" s="44">
        <f t="shared" si="192"/>
        <v>65000</v>
      </c>
      <c r="J133" s="44">
        <f t="shared" si="212"/>
        <v>52000</v>
      </c>
      <c r="K133" s="44">
        <f t="shared" si="213"/>
        <v>6500</v>
      </c>
      <c r="L133" s="44">
        <f t="shared" si="214"/>
        <v>6500</v>
      </c>
      <c r="M133" s="44">
        <f t="shared" si="193"/>
        <v>32500</v>
      </c>
      <c r="N133" s="44">
        <v>26000</v>
      </c>
      <c r="O133" s="44">
        <v>3250</v>
      </c>
      <c r="P133" s="44">
        <v>3250</v>
      </c>
      <c r="Q133" s="44">
        <f t="shared" si="194"/>
        <v>32500</v>
      </c>
      <c r="R133" s="50">
        <f aca="true" t="shared" si="218" ref="R133:T133">J133-N133</f>
        <v>26000</v>
      </c>
      <c r="S133" s="50">
        <f t="shared" si="218"/>
        <v>3250</v>
      </c>
      <c r="T133" s="50">
        <f t="shared" si="218"/>
        <v>3250</v>
      </c>
    </row>
    <row r="134" spans="2:20" s="3" customFormat="1" ht="19.5" customHeight="1">
      <c r="B134" s="70" t="s">
        <v>145</v>
      </c>
      <c r="C134" s="71">
        <v>111</v>
      </c>
      <c r="D134" s="71">
        <v>111</v>
      </c>
      <c r="E134" s="71">
        <v>111</v>
      </c>
      <c r="F134" s="44"/>
      <c r="G134" s="44"/>
      <c r="H134" s="44">
        <v>650</v>
      </c>
      <c r="I134" s="44">
        <f t="shared" si="192"/>
        <v>74100</v>
      </c>
      <c r="J134" s="44">
        <v>60840</v>
      </c>
      <c r="K134" s="44">
        <f>7605-1950</f>
        <v>5655</v>
      </c>
      <c r="L134" s="44">
        <v>7605</v>
      </c>
      <c r="M134" s="44">
        <f t="shared" si="193"/>
        <v>38025</v>
      </c>
      <c r="N134" s="44">
        <v>30420</v>
      </c>
      <c r="O134" s="44">
        <v>3802.5</v>
      </c>
      <c r="P134" s="44">
        <v>3802.5</v>
      </c>
      <c r="Q134" s="44">
        <f t="shared" si="194"/>
        <v>36075</v>
      </c>
      <c r="R134" s="50">
        <f aca="true" t="shared" si="219" ref="R134:T134">J134-N134</f>
        <v>30420</v>
      </c>
      <c r="S134" s="50">
        <f t="shared" si="219"/>
        <v>1852.5</v>
      </c>
      <c r="T134" s="50">
        <f t="shared" si="219"/>
        <v>3802.5</v>
      </c>
    </row>
    <row r="135" spans="2:20" s="3" customFormat="1" ht="19.5" customHeight="1">
      <c r="B135" s="70" t="s">
        <v>146</v>
      </c>
      <c r="C135" s="71">
        <v>75</v>
      </c>
      <c r="D135" s="44">
        <v>100</v>
      </c>
      <c r="E135" s="44">
        <v>100</v>
      </c>
      <c r="F135" s="44"/>
      <c r="G135" s="44"/>
      <c r="H135" s="44">
        <v>650</v>
      </c>
      <c r="I135" s="44">
        <f t="shared" si="192"/>
        <v>65000</v>
      </c>
      <c r="J135" s="44">
        <f aca="true" t="shared" si="220" ref="J135:J138">ROUND(E135*H135*0.8,2)</f>
        <v>52000</v>
      </c>
      <c r="K135" s="44">
        <f aca="true" t="shared" si="221" ref="K135:K138">ROUND(E135*H135*0.1,2)</f>
        <v>6500</v>
      </c>
      <c r="L135" s="44">
        <f aca="true" t="shared" si="222" ref="L135:L138">ROUND(E135*H135*0.1,2)</f>
        <v>6500</v>
      </c>
      <c r="M135" s="44">
        <f t="shared" si="193"/>
        <v>32500</v>
      </c>
      <c r="N135" s="44">
        <v>26000</v>
      </c>
      <c r="O135" s="44">
        <v>3250</v>
      </c>
      <c r="P135" s="44">
        <v>3250</v>
      </c>
      <c r="Q135" s="44">
        <f t="shared" si="194"/>
        <v>32500</v>
      </c>
      <c r="R135" s="50">
        <f aca="true" t="shared" si="223" ref="R135:T135">J135-N135</f>
        <v>26000</v>
      </c>
      <c r="S135" s="50">
        <f t="shared" si="223"/>
        <v>3250</v>
      </c>
      <c r="T135" s="50">
        <f t="shared" si="223"/>
        <v>3250</v>
      </c>
    </row>
    <row r="136" spans="2:231" s="3" customFormat="1" ht="19.5" customHeight="1">
      <c r="B136" s="70" t="s">
        <v>147</v>
      </c>
      <c r="C136" s="71"/>
      <c r="D136" s="44">
        <v>1</v>
      </c>
      <c r="E136" s="44"/>
      <c r="F136" s="44">
        <v>1</v>
      </c>
      <c r="G136" s="44"/>
      <c r="H136" s="44">
        <v>6000</v>
      </c>
      <c r="I136" s="44">
        <f t="shared" si="192"/>
        <v>6000</v>
      </c>
      <c r="J136" s="44">
        <f>ROUND(F136*H136*0.8,2)</f>
        <v>4800</v>
      </c>
      <c r="K136" s="44">
        <f>ROUND(F136*H136*0.1,2)</f>
        <v>600</v>
      </c>
      <c r="L136" s="44">
        <f>ROUND(F136*H136*0.1,2)</f>
        <v>600</v>
      </c>
      <c r="M136" s="44">
        <f t="shared" si="193"/>
        <v>3000</v>
      </c>
      <c r="N136" s="44">
        <v>2400</v>
      </c>
      <c r="O136" s="44">
        <v>300</v>
      </c>
      <c r="P136" s="44">
        <v>300</v>
      </c>
      <c r="Q136" s="44">
        <f t="shared" si="194"/>
        <v>3000</v>
      </c>
      <c r="R136" s="50">
        <f aca="true" t="shared" si="224" ref="R136:T136">J136-N136</f>
        <v>2400</v>
      </c>
      <c r="S136" s="50">
        <f t="shared" si="224"/>
        <v>300</v>
      </c>
      <c r="T136" s="50">
        <f t="shared" si="224"/>
        <v>300</v>
      </c>
      <c r="HT136" s="31"/>
      <c r="HU136" s="31"/>
      <c r="HV136" s="31"/>
      <c r="HW136" s="31"/>
    </row>
    <row r="137" spans="2:20" s="3" customFormat="1" ht="19.5" customHeight="1">
      <c r="B137" s="70" t="s">
        <v>148</v>
      </c>
      <c r="C137" s="71">
        <v>42</v>
      </c>
      <c r="D137" s="44">
        <v>100</v>
      </c>
      <c r="E137" s="44">
        <v>100</v>
      </c>
      <c r="F137" s="44"/>
      <c r="G137" s="44"/>
      <c r="H137" s="44">
        <v>650</v>
      </c>
      <c r="I137" s="44">
        <f t="shared" si="192"/>
        <v>65000</v>
      </c>
      <c r="J137" s="44">
        <f t="shared" si="220"/>
        <v>52000</v>
      </c>
      <c r="K137" s="44">
        <f t="shared" si="221"/>
        <v>6500</v>
      </c>
      <c r="L137" s="44">
        <f t="shared" si="222"/>
        <v>6500</v>
      </c>
      <c r="M137" s="44">
        <f t="shared" si="193"/>
        <v>32500</v>
      </c>
      <c r="N137" s="44">
        <v>26000</v>
      </c>
      <c r="O137" s="44">
        <v>3250</v>
      </c>
      <c r="P137" s="44">
        <v>3250</v>
      </c>
      <c r="Q137" s="44">
        <f t="shared" si="194"/>
        <v>32500</v>
      </c>
      <c r="R137" s="50">
        <f aca="true" t="shared" si="225" ref="R137:T137">J137-N137</f>
        <v>26000</v>
      </c>
      <c r="S137" s="50">
        <f t="shared" si="225"/>
        <v>3250</v>
      </c>
      <c r="T137" s="50">
        <f t="shared" si="225"/>
        <v>3250</v>
      </c>
    </row>
    <row r="138" spans="2:20" s="3" customFormat="1" ht="19.5" customHeight="1">
      <c r="B138" s="70" t="s">
        <v>149</v>
      </c>
      <c r="C138" s="71">
        <v>10</v>
      </c>
      <c r="D138" s="44">
        <v>100</v>
      </c>
      <c r="E138" s="44">
        <v>100</v>
      </c>
      <c r="F138" s="44"/>
      <c r="G138" s="44"/>
      <c r="H138" s="44">
        <v>650</v>
      </c>
      <c r="I138" s="44">
        <f t="shared" si="192"/>
        <v>65000</v>
      </c>
      <c r="J138" s="44">
        <f t="shared" si="220"/>
        <v>52000</v>
      </c>
      <c r="K138" s="44">
        <f t="shared" si="221"/>
        <v>6500</v>
      </c>
      <c r="L138" s="44">
        <f t="shared" si="222"/>
        <v>6500</v>
      </c>
      <c r="M138" s="44">
        <f t="shared" si="193"/>
        <v>32500</v>
      </c>
      <c r="N138" s="44">
        <v>26000</v>
      </c>
      <c r="O138" s="44">
        <v>3250</v>
      </c>
      <c r="P138" s="44">
        <v>3250</v>
      </c>
      <c r="Q138" s="44">
        <f t="shared" si="194"/>
        <v>32500</v>
      </c>
      <c r="R138" s="50">
        <f aca="true" t="shared" si="226" ref="R138:T138">J138-N138</f>
        <v>26000</v>
      </c>
      <c r="S138" s="50">
        <f t="shared" si="226"/>
        <v>3250</v>
      </c>
      <c r="T138" s="50">
        <f t="shared" si="226"/>
        <v>3250</v>
      </c>
    </row>
    <row r="139" spans="2:231" s="3" customFormat="1" ht="19.5" customHeight="1">
      <c r="B139" s="70" t="s">
        <v>150</v>
      </c>
      <c r="C139" s="71"/>
      <c r="D139" s="44">
        <v>1</v>
      </c>
      <c r="E139" s="44"/>
      <c r="F139" s="44">
        <v>1</v>
      </c>
      <c r="G139" s="44"/>
      <c r="H139" s="44">
        <v>6000</v>
      </c>
      <c r="I139" s="44">
        <f t="shared" si="192"/>
        <v>6000</v>
      </c>
      <c r="J139" s="44">
        <f>ROUND(F139*H139*0.8,2)</f>
        <v>4800</v>
      </c>
      <c r="K139" s="44">
        <f>ROUND(F139*H139*0.1,2)</f>
        <v>600</v>
      </c>
      <c r="L139" s="44">
        <f>ROUND(F139*H139*0.1,2)</f>
        <v>600</v>
      </c>
      <c r="M139" s="44">
        <f t="shared" si="193"/>
        <v>3000</v>
      </c>
      <c r="N139" s="44">
        <v>2400</v>
      </c>
      <c r="O139" s="44">
        <v>300</v>
      </c>
      <c r="P139" s="44">
        <v>300</v>
      </c>
      <c r="Q139" s="44">
        <f t="shared" si="194"/>
        <v>3000</v>
      </c>
      <c r="R139" s="50">
        <f aca="true" t="shared" si="227" ref="R139:T139">J139-N139</f>
        <v>2400</v>
      </c>
      <c r="S139" s="50">
        <f t="shared" si="227"/>
        <v>300</v>
      </c>
      <c r="T139" s="50">
        <f t="shared" si="227"/>
        <v>300</v>
      </c>
      <c r="HT139" s="31"/>
      <c r="HU139" s="31"/>
      <c r="HV139" s="31"/>
      <c r="HW139" s="31"/>
    </row>
    <row r="140" spans="2:20" s="3" customFormat="1" ht="19.5" customHeight="1">
      <c r="B140" s="70" t="s">
        <v>151</v>
      </c>
      <c r="C140" s="71">
        <v>46</v>
      </c>
      <c r="D140" s="44">
        <v>100</v>
      </c>
      <c r="E140" s="44">
        <v>100</v>
      </c>
      <c r="F140" s="44"/>
      <c r="G140" s="44"/>
      <c r="H140" s="44">
        <v>650</v>
      </c>
      <c r="I140" s="44">
        <f t="shared" si="192"/>
        <v>65000</v>
      </c>
      <c r="J140" s="44">
        <f>ROUND(E140*H140*0.8,2)</f>
        <v>52000</v>
      </c>
      <c r="K140" s="44">
        <f>ROUND(E140*H140*0.1,2)</f>
        <v>6500</v>
      </c>
      <c r="L140" s="44">
        <f>ROUND(E140*H140*0.1,2)</f>
        <v>6500</v>
      </c>
      <c r="M140" s="44">
        <f t="shared" si="193"/>
        <v>32500</v>
      </c>
      <c r="N140" s="44">
        <v>26000</v>
      </c>
      <c r="O140" s="44">
        <v>3250</v>
      </c>
      <c r="P140" s="44">
        <v>3250</v>
      </c>
      <c r="Q140" s="44">
        <f t="shared" si="194"/>
        <v>32500</v>
      </c>
      <c r="R140" s="50">
        <f aca="true" t="shared" si="228" ref="R140:T140">J140-N140</f>
        <v>26000</v>
      </c>
      <c r="S140" s="50">
        <f t="shared" si="228"/>
        <v>3250</v>
      </c>
      <c r="T140" s="50">
        <f t="shared" si="228"/>
        <v>3250</v>
      </c>
    </row>
    <row r="141" spans="2:20" s="3" customFormat="1" ht="19.5" customHeight="1">
      <c r="B141" s="70" t="s">
        <v>152</v>
      </c>
      <c r="C141" s="71">
        <v>244</v>
      </c>
      <c r="D141" s="71">
        <v>244</v>
      </c>
      <c r="E141" s="71">
        <v>244</v>
      </c>
      <c r="F141" s="44"/>
      <c r="G141" s="44"/>
      <c r="H141" s="44">
        <v>650</v>
      </c>
      <c r="I141" s="44">
        <f t="shared" si="192"/>
        <v>152425</v>
      </c>
      <c r="J141" s="44">
        <v>124280</v>
      </c>
      <c r="K141" s="44">
        <f>15535-2925</f>
        <v>12610</v>
      </c>
      <c r="L141" s="44">
        <v>15535</v>
      </c>
      <c r="M141" s="44">
        <f t="shared" si="193"/>
        <v>77675</v>
      </c>
      <c r="N141" s="44">
        <v>62140</v>
      </c>
      <c r="O141" s="44">
        <v>7767.5</v>
      </c>
      <c r="P141" s="44">
        <v>7767.5</v>
      </c>
      <c r="Q141" s="44">
        <f t="shared" si="194"/>
        <v>74750</v>
      </c>
      <c r="R141" s="50">
        <f aca="true" t="shared" si="229" ref="R141:T141">J141-N141</f>
        <v>62140</v>
      </c>
      <c r="S141" s="50">
        <f t="shared" si="229"/>
        <v>4842.5</v>
      </c>
      <c r="T141" s="50">
        <f t="shared" si="229"/>
        <v>7767.5</v>
      </c>
    </row>
    <row r="142" spans="2:20" s="27" customFormat="1" ht="19.5" customHeight="1">
      <c r="B142" s="51" t="s">
        <v>153</v>
      </c>
      <c r="C142" s="52">
        <f aca="true" t="shared" si="230" ref="C142:G142">SUM(C143:C151)</f>
        <v>467</v>
      </c>
      <c r="D142" s="52">
        <f t="shared" si="230"/>
        <v>851</v>
      </c>
      <c r="E142" s="52">
        <f t="shared" si="230"/>
        <v>844</v>
      </c>
      <c r="F142" s="52">
        <f t="shared" si="230"/>
        <v>6</v>
      </c>
      <c r="G142" s="52">
        <f t="shared" si="230"/>
        <v>1</v>
      </c>
      <c r="H142" s="52"/>
      <c r="I142" s="52">
        <f aca="true" t="shared" si="231" ref="I142:T142">SUM(I143:I151)</f>
        <v>610600</v>
      </c>
      <c r="J142" s="52">
        <f t="shared" si="231"/>
        <v>492480</v>
      </c>
      <c r="K142" s="52">
        <f t="shared" si="231"/>
        <v>59060</v>
      </c>
      <c r="L142" s="52">
        <f t="shared" si="231"/>
        <v>59060</v>
      </c>
      <c r="M142" s="52">
        <f t="shared" si="231"/>
        <v>295300</v>
      </c>
      <c r="N142" s="52">
        <f t="shared" si="231"/>
        <v>236240</v>
      </c>
      <c r="O142" s="52">
        <f t="shared" si="231"/>
        <v>29530</v>
      </c>
      <c r="P142" s="52">
        <f t="shared" si="231"/>
        <v>29530</v>
      </c>
      <c r="Q142" s="52">
        <f t="shared" si="231"/>
        <v>315300</v>
      </c>
      <c r="R142" s="52">
        <f t="shared" si="231"/>
        <v>256240</v>
      </c>
      <c r="S142" s="52">
        <f t="shared" si="231"/>
        <v>29530</v>
      </c>
      <c r="T142" s="52">
        <f t="shared" si="231"/>
        <v>29530</v>
      </c>
    </row>
    <row r="143" spans="2:20" s="3" customFormat="1" ht="19.5" customHeight="1">
      <c r="B143" s="72" t="s">
        <v>154</v>
      </c>
      <c r="C143" s="73">
        <v>350</v>
      </c>
      <c r="D143" s="73">
        <v>344</v>
      </c>
      <c r="E143" s="73">
        <v>344</v>
      </c>
      <c r="F143" s="44"/>
      <c r="G143" s="44"/>
      <c r="H143" s="44">
        <v>650</v>
      </c>
      <c r="I143" s="44">
        <f aca="true" t="shared" si="232" ref="I143:I151">SUM(J143:L143)</f>
        <v>243600</v>
      </c>
      <c r="J143" s="44">
        <f>ROUND(E143*H143*0.8,2)+20000</f>
        <v>198880</v>
      </c>
      <c r="K143" s="44">
        <f aca="true" t="shared" si="233" ref="K143:K151">ROUND(E143*H143*0.1,2)</f>
        <v>22360</v>
      </c>
      <c r="L143" s="44">
        <f aca="true" t="shared" si="234" ref="L143:L151">ROUND(E143*H143*0.1,2)</f>
        <v>22360</v>
      </c>
      <c r="M143" s="44">
        <f aca="true" t="shared" si="235" ref="M143:M151">SUM(N143:P143)</f>
        <v>111800</v>
      </c>
      <c r="N143" s="44">
        <v>89440</v>
      </c>
      <c r="O143" s="44">
        <v>11180</v>
      </c>
      <c r="P143" s="44">
        <v>11180</v>
      </c>
      <c r="Q143" s="44">
        <f aca="true" t="shared" si="236" ref="Q143:Q151">SUM(R143:T143)</f>
        <v>131800</v>
      </c>
      <c r="R143" s="50">
        <f aca="true" t="shared" si="237" ref="R143:T143">J143-N143</f>
        <v>109440</v>
      </c>
      <c r="S143" s="50">
        <f t="shared" si="237"/>
        <v>11180</v>
      </c>
      <c r="T143" s="50">
        <f t="shared" si="237"/>
        <v>11180</v>
      </c>
    </row>
    <row r="144" spans="2:231" s="3" customFormat="1" ht="19.5" customHeight="1">
      <c r="B144" s="72" t="s">
        <v>155</v>
      </c>
      <c r="C144" s="73"/>
      <c r="D144" s="73">
        <v>1</v>
      </c>
      <c r="E144" s="59"/>
      <c r="F144" s="44"/>
      <c r="G144" s="44">
        <v>1</v>
      </c>
      <c r="H144" s="44">
        <v>6000</v>
      </c>
      <c r="I144" s="44">
        <f t="shared" si="232"/>
        <v>6000</v>
      </c>
      <c r="J144" s="44">
        <f>ROUND(G144*H144*0.8,2)</f>
        <v>4800</v>
      </c>
      <c r="K144" s="44">
        <f>ROUND(G144*H144*0.1,2)</f>
        <v>600</v>
      </c>
      <c r="L144" s="44">
        <f>ROUND(G144*H144*0.1,2)</f>
        <v>600</v>
      </c>
      <c r="M144" s="44">
        <f t="shared" si="235"/>
        <v>3000</v>
      </c>
      <c r="N144" s="44">
        <v>2400</v>
      </c>
      <c r="O144" s="44">
        <v>300</v>
      </c>
      <c r="P144" s="44">
        <v>300</v>
      </c>
      <c r="Q144" s="44">
        <f t="shared" si="236"/>
        <v>3000</v>
      </c>
      <c r="R144" s="50">
        <f aca="true" t="shared" si="238" ref="R144:T144">J144-N144</f>
        <v>2400</v>
      </c>
      <c r="S144" s="50">
        <f t="shared" si="238"/>
        <v>300</v>
      </c>
      <c r="T144" s="50">
        <f t="shared" si="238"/>
        <v>300</v>
      </c>
      <c r="HT144" s="31"/>
      <c r="HU144" s="31"/>
      <c r="HV144" s="31"/>
      <c r="HW144" s="31"/>
    </row>
    <row r="145" spans="2:231" s="3" customFormat="1" ht="19.5" customHeight="1">
      <c r="B145" s="72" t="s">
        <v>156</v>
      </c>
      <c r="C145" s="73"/>
      <c r="D145" s="73">
        <v>5</v>
      </c>
      <c r="E145" s="59"/>
      <c r="F145" s="44">
        <v>5</v>
      </c>
      <c r="G145" s="44"/>
      <c r="H145" s="44">
        <v>6000</v>
      </c>
      <c r="I145" s="44">
        <f t="shared" si="232"/>
        <v>30000</v>
      </c>
      <c r="J145" s="44">
        <f>ROUND(F145*H145*0.8,2)</f>
        <v>24000</v>
      </c>
      <c r="K145" s="44">
        <f>ROUND(F145*H145*0.1,2)</f>
        <v>3000</v>
      </c>
      <c r="L145" s="44">
        <f>ROUND(F145*H145*0.1,2)</f>
        <v>3000</v>
      </c>
      <c r="M145" s="44">
        <f t="shared" si="235"/>
        <v>15000</v>
      </c>
      <c r="N145" s="44">
        <v>12000</v>
      </c>
      <c r="O145" s="44">
        <v>1500</v>
      </c>
      <c r="P145" s="44">
        <v>1500</v>
      </c>
      <c r="Q145" s="44">
        <f t="shared" si="236"/>
        <v>15000</v>
      </c>
      <c r="R145" s="50">
        <f aca="true" t="shared" si="239" ref="R145:T145">J145-N145</f>
        <v>12000</v>
      </c>
      <c r="S145" s="50">
        <f t="shared" si="239"/>
        <v>1500</v>
      </c>
      <c r="T145" s="50">
        <f t="shared" si="239"/>
        <v>1500</v>
      </c>
      <c r="HT145" s="31"/>
      <c r="HU145" s="31"/>
      <c r="HV145" s="31"/>
      <c r="HW145" s="31"/>
    </row>
    <row r="146" spans="2:20" s="3" customFormat="1" ht="19.5" customHeight="1">
      <c r="B146" s="72" t="s">
        <v>157</v>
      </c>
      <c r="C146" s="73">
        <v>38</v>
      </c>
      <c r="D146" s="44">
        <v>100</v>
      </c>
      <c r="E146" s="44">
        <v>100</v>
      </c>
      <c r="F146" s="44"/>
      <c r="G146" s="44"/>
      <c r="H146" s="44">
        <v>650</v>
      </c>
      <c r="I146" s="44">
        <f t="shared" si="232"/>
        <v>65000</v>
      </c>
      <c r="J146" s="44">
        <f aca="true" t="shared" si="240" ref="J146:J151">ROUND(E146*H146*0.8,2)</f>
        <v>52000</v>
      </c>
      <c r="K146" s="44">
        <f t="shared" si="233"/>
        <v>6500</v>
      </c>
      <c r="L146" s="44">
        <f t="shared" si="234"/>
        <v>6500</v>
      </c>
      <c r="M146" s="44">
        <f t="shared" si="235"/>
        <v>32500</v>
      </c>
      <c r="N146" s="44">
        <v>26000</v>
      </c>
      <c r="O146" s="44">
        <v>3250</v>
      </c>
      <c r="P146" s="44">
        <v>3250</v>
      </c>
      <c r="Q146" s="44">
        <f t="shared" si="236"/>
        <v>32500</v>
      </c>
      <c r="R146" s="50">
        <f aca="true" t="shared" si="241" ref="R146:T146">J146-N146</f>
        <v>26000</v>
      </c>
      <c r="S146" s="50">
        <f t="shared" si="241"/>
        <v>3250</v>
      </c>
      <c r="T146" s="50">
        <f t="shared" si="241"/>
        <v>3250</v>
      </c>
    </row>
    <row r="147" spans="2:231" s="3" customFormat="1" ht="19.5" customHeight="1">
      <c r="B147" s="72" t="s">
        <v>158</v>
      </c>
      <c r="C147" s="73"/>
      <c r="D147" s="44">
        <v>1</v>
      </c>
      <c r="E147" s="44"/>
      <c r="F147" s="44">
        <v>1</v>
      </c>
      <c r="G147" s="44"/>
      <c r="H147" s="44">
        <v>6000</v>
      </c>
      <c r="I147" s="44">
        <f t="shared" si="232"/>
        <v>6000</v>
      </c>
      <c r="J147" s="44">
        <f>ROUND(F147*H147*0.8,2)</f>
        <v>4800</v>
      </c>
      <c r="K147" s="44">
        <f>ROUND(F147*H147*0.1,2)</f>
        <v>600</v>
      </c>
      <c r="L147" s="44">
        <f>ROUND(F147*H147*0.1,2)</f>
        <v>600</v>
      </c>
      <c r="M147" s="44">
        <f t="shared" si="235"/>
        <v>3000</v>
      </c>
      <c r="N147" s="44">
        <v>2400</v>
      </c>
      <c r="O147" s="44">
        <v>300</v>
      </c>
      <c r="P147" s="44">
        <v>300</v>
      </c>
      <c r="Q147" s="44">
        <f t="shared" si="236"/>
        <v>3000</v>
      </c>
      <c r="R147" s="50">
        <f aca="true" t="shared" si="242" ref="R147:T147">J147-N147</f>
        <v>2400</v>
      </c>
      <c r="S147" s="50">
        <f t="shared" si="242"/>
        <v>300</v>
      </c>
      <c r="T147" s="50">
        <f t="shared" si="242"/>
        <v>300</v>
      </c>
      <c r="HT147" s="31"/>
      <c r="HU147" s="31"/>
      <c r="HV147" s="31"/>
      <c r="HW147" s="31"/>
    </row>
    <row r="148" spans="2:20" s="3" customFormat="1" ht="19.5" customHeight="1">
      <c r="B148" s="72" t="s">
        <v>159</v>
      </c>
      <c r="C148" s="73">
        <v>14</v>
      </c>
      <c r="D148" s="44">
        <v>100</v>
      </c>
      <c r="E148" s="44">
        <v>100</v>
      </c>
      <c r="F148" s="44"/>
      <c r="G148" s="44"/>
      <c r="H148" s="44">
        <v>650</v>
      </c>
      <c r="I148" s="44">
        <f t="shared" si="232"/>
        <v>65000</v>
      </c>
      <c r="J148" s="44">
        <f t="shared" si="240"/>
        <v>52000</v>
      </c>
      <c r="K148" s="44">
        <f t="shared" si="233"/>
        <v>6500</v>
      </c>
      <c r="L148" s="44">
        <f t="shared" si="234"/>
        <v>6500</v>
      </c>
      <c r="M148" s="44">
        <f t="shared" si="235"/>
        <v>32500</v>
      </c>
      <c r="N148" s="44">
        <v>26000</v>
      </c>
      <c r="O148" s="44">
        <v>3250</v>
      </c>
      <c r="P148" s="44">
        <v>3250</v>
      </c>
      <c r="Q148" s="44">
        <f t="shared" si="236"/>
        <v>32500</v>
      </c>
      <c r="R148" s="50">
        <f aca="true" t="shared" si="243" ref="R148:T148">J148-N148</f>
        <v>26000</v>
      </c>
      <c r="S148" s="50">
        <f t="shared" si="243"/>
        <v>3250</v>
      </c>
      <c r="T148" s="50">
        <f t="shared" si="243"/>
        <v>3250</v>
      </c>
    </row>
    <row r="149" spans="2:20" s="3" customFormat="1" ht="19.5" customHeight="1">
      <c r="B149" s="72" t="s">
        <v>160</v>
      </c>
      <c r="C149" s="73">
        <v>28</v>
      </c>
      <c r="D149" s="44">
        <v>100</v>
      </c>
      <c r="E149" s="44">
        <v>100</v>
      </c>
      <c r="F149" s="44"/>
      <c r="G149" s="44"/>
      <c r="H149" s="44">
        <v>650</v>
      </c>
      <c r="I149" s="44">
        <f t="shared" si="232"/>
        <v>65000</v>
      </c>
      <c r="J149" s="44">
        <f t="shared" si="240"/>
        <v>52000</v>
      </c>
      <c r="K149" s="44">
        <f t="shared" si="233"/>
        <v>6500</v>
      </c>
      <c r="L149" s="44">
        <f t="shared" si="234"/>
        <v>6500</v>
      </c>
      <c r="M149" s="44">
        <f t="shared" si="235"/>
        <v>32500</v>
      </c>
      <c r="N149" s="44">
        <v>26000</v>
      </c>
      <c r="O149" s="44">
        <v>3250</v>
      </c>
      <c r="P149" s="44">
        <v>3250</v>
      </c>
      <c r="Q149" s="44">
        <f t="shared" si="236"/>
        <v>32500</v>
      </c>
      <c r="R149" s="50">
        <f aca="true" t="shared" si="244" ref="R149:T149">J149-N149</f>
        <v>26000</v>
      </c>
      <c r="S149" s="50">
        <f t="shared" si="244"/>
        <v>3250</v>
      </c>
      <c r="T149" s="50">
        <f t="shared" si="244"/>
        <v>3250</v>
      </c>
    </row>
    <row r="150" spans="2:20" s="3" customFormat="1" ht="19.5" customHeight="1">
      <c r="B150" s="72" t="s">
        <v>161</v>
      </c>
      <c r="C150" s="73">
        <v>31</v>
      </c>
      <c r="D150" s="44">
        <v>100</v>
      </c>
      <c r="E150" s="44">
        <v>100</v>
      </c>
      <c r="F150" s="44"/>
      <c r="G150" s="44"/>
      <c r="H150" s="44">
        <v>650</v>
      </c>
      <c r="I150" s="44">
        <f t="shared" si="232"/>
        <v>65000</v>
      </c>
      <c r="J150" s="44">
        <f t="shared" si="240"/>
        <v>52000</v>
      </c>
      <c r="K150" s="44">
        <f t="shared" si="233"/>
        <v>6500</v>
      </c>
      <c r="L150" s="44">
        <f t="shared" si="234"/>
        <v>6500</v>
      </c>
      <c r="M150" s="44">
        <f t="shared" si="235"/>
        <v>32500</v>
      </c>
      <c r="N150" s="44">
        <v>26000</v>
      </c>
      <c r="O150" s="44">
        <v>3250</v>
      </c>
      <c r="P150" s="44">
        <v>3250</v>
      </c>
      <c r="Q150" s="44">
        <f t="shared" si="236"/>
        <v>32500</v>
      </c>
      <c r="R150" s="50">
        <f aca="true" t="shared" si="245" ref="R150:T150">J150-N150</f>
        <v>26000</v>
      </c>
      <c r="S150" s="50">
        <f t="shared" si="245"/>
        <v>3250</v>
      </c>
      <c r="T150" s="50">
        <f t="shared" si="245"/>
        <v>3250</v>
      </c>
    </row>
    <row r="151" spans="2:20" s="3" customFormat="1" ht="19.5" customHeight="1">
      <c r="B151" s="72" t="s">
        <v>162</v>
      </c>
      <c r="C151" s="73">
        <v>6</v>
      </c>
      <c r="D151" s="44">
        <v>100</v>
      </c>
      <c r="E151" s="44">
        <v>100</v>
      </c>
      <c r="F151" s="44"/>
      <c r="G151" s="44"/>
      <c r="H151" s="44">
        <v>650</v>
      </c>
      <c r="I151" s="44">
        <f t="shared" si="232"/>
        <v>65000</v>
      </c>
      <c r="J151" s="44">
        <f t="shared" si="240"/>
        <v>52000</v>
      </c>
      <c r="K151" s="44">
        <f t="shared" si="233"/>
        <v>6500</v>
      </c>
      <c r="L151" s="44">
        <f t="shared" si="234"/>
        <v>6500</v>
      </c>
      <c r="M151" s="44">
        <f t="shared" si="235"/>
        <v>32500</v>
      </c>
      <c r="N151" s="44">
        <v>26000</v>
      </c>
      <c r="O151" s="44">
        <v>3250</v>
      </c>
      <c r="P151" s="44">
        <v>3250</v>
      </c>
      <c r="Q151" s="44">
        <f t="shared" si="236"/>
        <v>32500</v>
      </c>
      <c r="R151" s="50">
        <f aca="true" t="shared" si="246" ref="R151:T151">J151-N151</f>
        <v>26000</v>
      </c>
      <c r="S151" s="50">
        <f t="shared" si="246"/>
        <v>3250</v>
      </c>
      <c r="T151" s="50">
        <f t="shared" si="246"/>
        <v>3250</v>
      </c>
    </row>
    <row r="152" spans="2:20" s="27" customFormat="1" ht="19.5" customHeight="1">
      <c r="B152" s="51" t="s">
        <v>163</v>
      </c>
      <c r="C152" s="52">
        <f aca="true" t="shared" si="247" ref="C152:G152">SUM(C153:C160)</f>
        <v>1119</v>
      </c>
      <c r="D152" s="52">
        <f t="shared" si="247"/>
        <v>1456</v>
      </c>
      <c r="E152" s="52">
        <f t="shared" si="247"/>
        <v>1447</v>
      </c>
      <c r="F152" s="52">
        <f t="shared" si="247"/>
        <v>9</v>
      </c>
      <c r="G152" s="52">
        <f t="shared" si="247"/>
        <v>0</v>
      </c>
      <c r="H152" s="52"/>
      <c r="I152" s="52">
        <f aca="true" t="shared" si="248" ref="I152:T152">SUM(I153:I160)</f>
        <v>1014550</v>
      </c>
      <c r="J152" s="52">
        <f t="shared" si="248"/>
        <v>815640</v>
      </c>
      <c r="K152" s="52">
        <f t="shared" si="248"/>
        <v>99455</v>
      </c>
      <c r="L152" s="52">
        <f t="shared" si="248"/>
        <v>99455</v>
      </c>
      <c r="M152" s="52">
        <f t="shared" si="248"/>
        <v>497275</v>
      </c>
      <c r="N152" s="52">
        <f t="shared" si="248"/>
        <v>397820</v>
      </c>
      <c r="O152" s="52">
        <f t="shared" si="248"/>
        <v>49727.5</v>
      </c>
      <c r="P152" s="52">
        <f t="shared" si="248"/>
        <v>49727.5</v>
      </c>
      <c r="Q152" s="52">
        <f t="shared" si="248"/>
        <v>517275</v>
      </c>
      <c r="R152" s="52">
        <f t="shared" si="248"/>
        <v>417820</v>
      </c>
      <c r="S152" s="52">
        <f t="shared" si="248"/>
        <v>49727.5</v>
      </c>
      <c r="T152" s="52">
        <f t="shared" si="248"/>
        <v>49727.5</v>
      </c>
    </row>
    <row r="153" spans="2:20" s="3" customFormat="1" ht="19.5" customHeight="1">
      <c r="B153" s="74" t="s">
        <v>164</v>
      </c>
      <c r="C153" s="75">
        <v>955</v>
      </c>
      <c r="D153" s="75">
        <v>947</v>
      </c>
      <c r="E153" s="75">
        <v>947</v>
      </c>
      <c r="F153" s="44"/>
      <c r="G153" s="44"/>
      <c r="H153" s="44">
        <v>650</v>
      </c>
      <c r="I153" s="44">
        <f aca="true" t="shared" si="249" ref="I153:I160">SUM(J153:L153)</f>
        <v>635550</v>
      </c>
      <c r="J153" s="44">
        <f>ROUND(E153*H153*0.8,2)+20000</f>
        <v>512440</v>
      </c>
      <c r="K153" s="44">
        <f aca="true" t="shared" si="250" ref="K153:K156">ROUND(E153*H153*0.1,2)</f>
        <v>61555</v>
      </c>
      <c r="L153" s="44">
        <f aca="true" t="shared" si="251" ref="L153:L156">ROUND(E153*H153*0.1,2)</f>
        <v>61555</v>
      </c>
      <c r="M153" s="44">
        <f aca="true" t="shared" si="252" ref="M153:M160">SUM(N153:P153)</f>
        <v>307775</v>
      </c>
      <c r="N153" s="44">
        <v>246220</v>
      </c>
      <c r="O153" s="44">
        <v>30777.5</v>
      </c>
      <c r="P153" s="44">
        <v>30777.5</v>
      </c>
      <c r="Q153" s="44">
        <f aca="true" t="shared" si="253" ref="Q153:Q160">SUM(R153:T153)</f>
        <v>327775</v>
      </c>
      <c r="R153" s="50">
        <f aca="true" t="shared" si="254" ref="R153:T153">J153-N153</f>
        <v>266220</v>
      </c>
      <c r="S153" s="50">
        <f t="shared" si="254"/>
        <v>30777.5</v>
      </c>
      <c r="T153" s="50">
        <f t="shared" si="254"/>
        <v>30777.5</v>
      </c>
    </row>
    <row r="154" spans="2:231" s="3" customFormat="1" ht="19.5" customHeight="1">
      <c r="B154" s="74" t="s">
        <v>165</v>
      </c>
      <c r="C154" s="75"/>
      <c r="D154" s="75">
        <v>8</v>
      </c>
      <c r="E154" s="59"/>
      <c r="F154" s="44">
        <v>8</v>
      </c>
      <c r="G154" s="44"/>
      <c r="H154" s="44">
        <v>6000</v>
      </c>
      <c r="I154" s="44">
        <f t="shared" si="249"/>
        <v>48000</v>
      </c>
      <c r="J154" s="44">
        <f>ROUND(F154*H154*0.8,2)</f>
        <v>38400</v>
      </c>
      <c r="K154" s="44">
        <f>ROUND(F154*H154*0.1,2)</f>
        <v>4800</v>
      </c>
      <c r="L154" s="44">
        <f>ROUND(F154*H154*0.1,2)</f>
        <v>4800</v>
      </c>
      <c r="M154" s="44">
        <f t="shared" si="252"/>
        <v>24000</v>
      </c>
      <c r="N154" s="44">
        <v>19200</v>
      </c>
      <c r="O154" s="44">
        <v>2400</v>
      </c>
      <c r="P154" s="44">
        <v>2400</v>
      </c>
      <c r="Q154" s="44">
        <f t="shared" si="253"/>
        <v>24000</v>
      </c>
      <c r="R154" s="50">
        <f aca="true" t="shared" si="255" ref="R154:T154">J154-N154</f>
        <v>19200</v>
      </c>
      <c r="S154" s="50">
        <f t="shared" si="255"/>
        <v>2400</v>
      </c>
      <c r="T154" s="50">
        <f t="shared" si="255"/>
        <v>2400</v>
      </c>
      <c r="HT154" s="31"/>
      <c r="HU154" s="31"/>
      <c r="HV154" s="31"/>
      <c r="HW154" s="31"/>
    </row>
    <row r="155" spans="2:20" s="3" customFormat="1" ht="19.5" customHeight="1">
      <c r="B155" s="74" t="s">
        <v>166</v>
      </c>
      <c r="C155" s="75">
        <v>94</v>
      </c>
      <c r="D155" s="75">
        <v>100</v>
      </c>
      <c r="E155" s="75">
        <v>100</v>
      </c>
      <c r="F155" s="44"/>
      <c r="G155" s="44"/>
      <c r="H155" s="44">
        <v>650</v>
      </c>
      <c r="I155" s="44">
        <f t="shared" si="249"/>
        <v>65000</v>
      </c>
      <c r="J155" s="44">
        <f aca="true" t="shared" si="256" ref="J155:J160">ROUND(E155*H155*0.8,2)</f>
        <v>52000</v>
      </c>
      <c r="K155" s="44">
        <f t="shared" si="250"/>
        <v>6500</v>
      </c>
      <c r="L155" s="44">
        <f t="shared" si="251"/>
        <v>6500</v>
      </c>
      <c r="M155" s="44">
        <f t="shared" si="252"/>
        <v>32500</v>
      </c>
      <c r="N155" s="44">
        <v>26000</v>
      </c>
      <c r="O155" s="44">
        <v>3250</v>
      </c>
      <c r="P155" s="44">
        <v>3250</v>
      </c>
      <c r="Q155" s="44">
        <f t="shared" si="253"/>
        <v>32500</v>
      </c>
      <c r="R155" s="50">
        <f aca="true" t="shared" si="257" ref="R155:T155">J155-N155</f>
        <v>26000</v>
      </c>
      <c r="S155" s="50">
        <f t="shared" si="257"/>
        <v>3250</v>
      </c>
      <c r="T155" s="50">
        <f t="shared" si="257"/>
        <v>3250</v>
      </c>
    </row>
    <row r="156" spans="2:20" s="3" customFormat="1" ht="19.5" customHeight="1">
      <c r="B156" s="74" t="s">
        <v>167</v>
      </c>
      <c r="C156" s="75">
        <v>31</v>
      </c>
      <c r="D156" s="44">
        <v>100</v>
      </c>
      <c r="E156" s="44">
        <v>100</v>
      </c>
      <c r="F156" s="44"/>
      <c r="G156" s="44"/>
      <c r="H156" s="44">
        <v>650</v>
      </c>
      <c r="I156" s="44">
        <f t="shared" si="249"/>
        <v>65000</v>
      </c>
      <c r="J156" s="44">
        <f t="shared" si="256"/>
        <v>52000</v>
      </c>
      <c r="K156" s="44">
        <f t="shared" si="250"/>
        <v>6500</v>
      </c>
      <c r="L156" s="44">
        <f t="shared" si="251"/>
        <v>6500</v>
      </c>
      <c r="M156" s="44">
        <f t="shared" si="252"/>
        <v>32500</v>
      </c>
      <c r="N156" s="44">
        <v>26000</v>
      </c>
      <c r="O156" s="44">
        <v>3250</v>
      </c>
      <c r="P156" s="44">
        <v>3250</v>
      </c>
      <c r="Q156" s="44">
        <f t="shared" si="253"/>
        <v>32500</v>
      </c>
      <c r="R156" s="50">
        <f aca="true" t="shared" si="258" ref="R156:T156">J156-N156</f>
        <v>26000</v>
      </c>
      <c r="S156" s="50">
        <f t="shared" si="258"/>
        <v>3250</v>
      </c>
      <c r="T156" s="50">
        <f t="shared" si="258"/>
        <v>3250</v>
      </c>
    </row>
    <row r="157" spans="2:231" s="3" customFormat="1" ht="19.5" customHeight="1">
      <c r="B157" s="74" t="s">
        <v>168</v>
      </c>
      <c r="C157" s="75"/>
      <c r="D157" s="44">
        <v>1</v>
      </c>
      <c r="E157" s="44"/>
      <c r="F157" s="44">
        <v>1</v>
      </c>
      <c r="G157" s="44"/>
      <c r="H157" s="44">
        <v>6000</v>
      </c>
      <c r="I157" s="44">
        <f t="shared" si="249"/>
        <v>6000</v>
      </c>
      <c r="J157" s="44">
        <f>ROUND(F157*H157*0.8,2)</f>
        <v>4800</v>
      </c>
      <c r="K157" s="44">
        <f>ROUND(F157*H157*0.1,2)</f>
        <v>600</v>
      </c>
      <c r="L157" s="44">
        <f>ROUND(F157*H157*0.1,2)</f>
        <v>600</v>
      </c>
      <c r="M157" s="44">
        <f t="shared" si="252"/>
        <v>3000</v>
      </c>
      <c r="N157" s="44">
        <v>2400</v>
      </c>
      <c r="O157" s="44">
        <v>300</v>
      </c>
      <c r="P157" s="44">
        <v>300</v>
      </c>
      <c r="Q157" s="44">
        <f t="shared" si="253"/>
        <v>3000</v>
      </c>
      <c r="R157" s="50">
        <f aca="true" t="shared" si="259" ref="R157:T157">J157-N157</f>
        <v>2400</v>
      </c>
      <c r="S157" s="50">
        <f t="shared" si="259"/>
        <v>300</v>
      </c>
      <c r="T157" s="50">
        <f t="shared" si="259"/>
        <v>300</v>
      </c>
      <c r="HT157" s="31"/>
      <c r="HU157" s="31"/>
      <c r="HV157" s="31"/>
      <c r="HW157" s="31"/>
    </row>
    <row r="158" spans="2:20" s="3" customFormat="1" ht="19.5" customHeight="1">
      <c r="B158" s="74" t="s">
        <v>169</v>
      </c>
      <c r="C158" s="75">
        <v>24</v>
      </c>
      <c r="D158" s="44">
        <v>100</v>
      </c>
      <c r="E158" s="44">
        <v>100</v>
      </c>
      <c r="F158" s="44"/>
      <c r="G158" s="44"/>
      <c r="H158" s="44">
        <v>650</v>
      </c>
      <c r="I158" s="44">
        <f t="shared" si="249"/>
        <v>65000</v>
      </c>
      <c r="J158" s="44">
        <f t="shared" si="256"/>
        <v>52000</v>
      </c>
      <c r="K158" s="44">
        <f aca="true" t="shared" si="260" ref="K158:K160">ROUND(E158*H158*0.1,2)</f>
        <v>6500</v>
      </c>
      <c r="L158" s="44">
        <f aca="true" t="shared" si="261" ref="L158:L160">ROUND(E158*H158*0.1,2)</f>
        <v>6500</v>
      </c>
      <c r="M158" s="44">
        <f t="shared" si="252"/>
        <v>32500</v>
      </c>
      <c r="N158" s="44">
        <v>26000</v>
      </c>
      <c r="O158" s="44">
        <v>3250</v>
      </c>
      <c r="P158" s="44">
        <v>3250</v>
      </c>
      <c r="Q158" s="44">
        <f t="shared" si="253"/>
        <v>32500</v>
      </c>
      <c r="R158" s="50">
        <f aca="true" t="shared" si="262" ref="R158:T158">J158-N158</f>
        <v>26000</v>
      </c>
      <c r="S158" s="50">
        <f t="shared" si="262"/>
        <v>3250</v>
      </c>
      <c r="T158" s="50">
        <f t="shared" si="262"/>
        <v>3250</v>
      </c>
    </row>
    <row r="159" spans="2:20" s="3" customFormat="1" ht="19.5" customHeight="1">
      <c r="B159" s="74" t="s">
        <v>170</v>
      </c>
      <c r="C159" s="75">
        <v>11</v>
      </c>
      <c r="D159" s="44">
        <v>100</v>
      </c>
      <c r="E159" s="44">
        <v>100</v>
      </c>
      <c r="F159" s="44"/>
      <c r="G159" s="44"/>
      <c r="H159" s="44">
        <v>650</v>
      </c>
      <c r="I159" s="44">
        <f t="shared" si="249"/>
        <v>65000</v>
      </c>
      <c r="J159" s="44">
        <f t="shared" si="256"/>
        <v>52000</v>
      </c>
      <c r="K159" s="44">
        <f t="shared" si="260"/>
        <v>6500</v>
      </c>
      <c r="L159" s="44">
        <f t="shared" si="261"/>
        <v>6500</v>
      </c>
      <c r="M159" s="44">
        <f t="shared" si="252"/>
        <v>32500</v>
      </c>
      <c r="N159" s="44">
        <v>26000</v>
      </c>
      <c r="O159" s="44">
        <v>3250</v>
      </c>
      <c r="P159" s="44">
        <v>3250</v>
      </c>
      <c r="Q159" s="44">
        <f t="shared" si="253"/>
        <v>32500</v>
      </c>
      <c r="R159" s="50">
        <f aca="true" t="shared" si="263" ref="R159:T159">J159-N159</f>
        <v>26000</v>
      </c>
      <c r="S159" s="50">
        <f t="shared" si="263"/>
        <v>3250</v>
      </c>
      <c r="T159" s="50">
        <f t="shared" si="263"/>
        <v>3250</v>
      </c>
    </row>
    <row r="160" spans="2:20" s="3" customFormat="1" ht="19.5" customHeight="1">
      <c r="B160" s="74" t="s">
        <v>171</v>
      </c>
      <c r="C160" s="75">
        <v>4</v>
      </c>
      <c r="D160" s="44">
        <v>100</v>
      </c>
      <c r="E160" s="44">
        <v>100</v>
      </c>
      <c r="F160" s="44"/>
      <c r="G160" s="44"/>
      <c r="H160" s="44">
        <v>650</v>
      </c>
      <c r="I160" s="44">
        <f t="shared" si="249"/>
        <v>65000</v>
      </c>
      <c r="J160" s="44">
        <f t="shared" si="256"/>
        <v>52000</v>
      </c>
      <c r="K160" s="44">
        <f t="shared" si="260"/>
        <v>6500</v>
      </c>
      <c r="L160" s="44">
        <f t="shared" si="261"/>
        <v>6500</v>
      </c>
      <c r="M160" s="44">
        <f t="shared" si="252"/>
        <v>32500</v>
      </c>
      <c r="N160" s="44">
        <v>26000</v>
      </c>
      <c r="O160" s="44">
        <v>3250</v>
      </c>
      <c r="P160" s="44">
        <v>3250</v>
      </c>
      <c r="Q160" s="44">
        <f t="shared" si="253"/>
        <v>32500</v>
      </c>
      <c r="R160" s="50">
        <f aca="true" t="shared" si="264" ref="R160:T160">J160-N160</f>
        <v>26000</v>
      </c>
      <c r="S160" s="50">
        <f t="shared" si="264"/>
        <v>3250</v>
      </c>
      <c r="T160" s="50">
        <f t="shared" si="264"/>
        <v>3250</v>
      </c>
    </row>
    <row r="161" spans="2:20" s="27" customFormat="1" ht="19.5" customHeight="1">
      <c r="B161" s="51" t="s">
        <v>172</v>
      </c>
      <c r="C161" s="52">
        <f aca="true" t="shared" si="265" ref="C161:G161">SUM(C162:C169)</f>
        <v>1574</v>
      </c>
      <c r="D161" s="52">
        <f t="shared" si="265"/>
        <v>1874</v>
      </c>
      <c r="E161" s="52">
        <f t="shared" si="265"/>
        <v>1871</v>
      </c>
      <c r="F161" s="52">
        <f t="shared" si="265"/>
        <v>3</v>
      </c>
      <c r="G161" s="52">
        <f t="shared" si="265"/>
        <v>0</v>
      </c>
      <c r="H161" s="52"/>
      <c r="I161" s="52">
        <f aca="true" t="shared" si="266" ref="I161:T161">SUM(I162:I169)</f>
        <v>1234150</v>
      </c>
      <c r="J161" s="52">
        <f t="shared" si="266"/>
        <v>987320</v>
      </c>
      <c r="K161" s="52">
        <f t="shared" si="266"/>
        <v>123415</v>
      </c>
      <c r="L161" s="52">
        <f t="shared" si="266"/>
        <v>123415</v>
      </c>
      <c r="M161" s="52">
        <f t="shared" si="266"/>
        <v>617075</v>
      </c>
      <c r="N161" s="52">
        <f t="shared" si="266"/>
        <v>493660</v>
      </c>
      <c r="O161" s="52">
        <f t="shared" si="266"/>
        <v>61707.5</v>
      </c>
      <c r="P161" s="52">
        <f t="shared" si="266"/>
        <v>61707.5</v>
      </c>
      <c r="Q161" s="52">
        <f t="shared" si="266"/>
        <v>617075</v>
      </c>
      <c r="R161" s="52">
        <f t="shared" si="266"/>
        <v>493660</v>
      </c>
      <c r="S161" s="52">
        <f t="shared" si="266"/>
        <v>61707.5</v>
      </c>
      <c r="T161" s="52">
        <f t="shared" si="266"/>
        <v>61707.5</v>
      </c>
    </row>
    <row r="162" spans="2:20" s="3" customFormat="1" ht="19.5" customHeight="1">
      <c r="B162" s="76" t="s">
        <v>173</v>
      </c>
      <c r="C162" s="77">
        <v>1274</v>
      </c>
      <c r="D162" s="77">
        <v>1271</v>
      </c>
      <c r="E162" s="77">
        <v>1271</v>
      </c>
      <c r="F162" s="44"/>
      <c r="G162" s="44"/>
      <c r="H162" s="44">
        <v>650</v>
      </c>
      <c r="I162" s="44">
        <f aca="true" t="shared" si="267" ref="I162:I169">SUM(J162:L162)</f>
        <v>826150</v>
      </c>
      <c r="J162" s="44">
        <f aca="true" t="shared" si="268" ref="J162:J169">ROUND(E162*H162*0.8,2)</f>
        <v>660920</v>
      </c>
      <c r="K162" s="44">
        <f aca="true" t="shared" si="269" ref="K162:K169">ROUND(E162*H162*0.1,2)</f>
        <v>82615</v>
      </c>
      <c r="L162" s="44">
        <f aca="true" t="shared" si="270" ref="L162:L169">ROUND(E162*H162*0.1,2)</f>
        <v>82615</v>
      </c>
      <c r="M162" s="44">
        <f aca="true" t="shared" si="271" ref="M162:M169">SUM(N162:P162)</f>
        <v>413075</v>
      </c>
      <c r="N162" s="44">
        <v>330460</v>
      </c>
      <c r="O162" s="44">
        <v>41307.5</v>
      </c>
      <c r="P162" s="44">
        <v>41307.5</v>
      </c>
      <c r="Q162" s="44">
        <f aca="true" t="shared" si="272" ref="Q162:Q169">SUM(R162:T162)</f>
        <v>413075</v>
      </c>
      <c r="R162" s="50">
        <f aca="true" t="shared" si="273" ref="R162:T162">J162-N162</f>
        <v>330460</v>
      </c>
      <c r="S162" s="50">
        <f t="shared" si="273"/>
        <v>41307.5</v>
      </c>
      <c r="T162" s="50">
        <f t="shared" si="273"/>
        <v>41307.5</v>
      </c>
    </row>
    <row r="163" spans="2:231" s="3" customFormat="1" ht="19.5" customHeight="1">
      <c r="B163" s="76" t="s">
        <v>174</v>
      </c>
      <c r="C163" s="77"/>
      <c r="D163" s="77">
        <v>3</v>
      </c>
      <c r="E163" s="59"/>
      <c r="F163" s="44">
        <v>3</v>
      </c>
      <c r="G163" s="44"/>
      <c r="H163" s="44">
        <v>6000</v>
      </c>
      <c r="I163" s="44">
        <f t="shared" si="267"/>
        <v>18000</v>
      </c>
      <c r="J163" s="44">
        <f>ROUND(F163*H163*0.8,2)</f>
        <v>14400</v>
      </c>
      <c r="K163" s="44">
        <f>ROUND(F163*H163*0.1,2)</f>
        <v>1800</v>
      </c>
      <c r="L163" s="44">
        <f>ROUND(F163*H163*0.1,2)</f>
        <v>1800</v>
      </c>
      <c r="M163" s="44">
        <f t="shared" si="271"/>
        <v>9000</v>
      </c>
      <c r="N163" s="44">
        <v>7200</v>
      </c>
      <c r="O163" s="44">
        <v>900</v>
      </c>
      <c r="P163" s="44">
        <v>900</v>
      </c>
      <c r="Q163" s="44">
        <f t="shared" si="272"/>
        <v>9000</v>
      </c>
      <c r="R163" s="50">
        <f aca="true" t="shared" si="274" ref="R163:T163">J163-N163</f>
        <v>7200</v>
      </c>
      <c r="S163" s="50">
        <f t="shared" si="274"/>
        <v>900</v>
      </c>
      <c r="T163" s="50">
        <f t="shared" si="274"/>
        <v>900</v>
      </c>
      <c r="HT163" s="31"/>
      <c r="HU163" s="31"/>
      <c r="HV163" s="31"/>
      <c r="HW163" s="31"/>
    </row>
    <row r="164" spans="2:20" s="3" customFormat="1" ht="19.5" customHeight="1">
      <c r="B164" s="76" t="s">
        <v>175</v>
      </c>
      <c r="C164" s="77">
        <v>35</v>
      </c>
      <c r="D164" s="44">
        <v>100</v>
      </c>
      <c r="E164" s="44">
        <v>100</v>
      </c>
      <c r="F164" s="44"/>
      <c r="G164" s="44"/>
      <c r="H164" s="44">
        <v>650</v>
      </c>
      <c r="I164" s="44">
        <f t="shared" si="267"/>
        <v>65000</v>
      </c>
      <c r="J164" s="44">
        <f t="shared" si="268"/>
        <v>52000</v>
      </c>
      <c r="K164" s="44">
        <f t="shared" si="269"/>
        <v>6500</v>
      </c>
      <c r="L164" s="44">
        <f t="shared" si="270"/>
        <v>6500</v>
      </c>
      <c r="M164" s="44">
        <f t="shared" si="271"/>
        <v>32500</v>
      </c>
      <c r="N164" s="44">
        <v>26000</v>
      </c>
      <c r="O164" s="44">
        <v>3250</v>
      </c>
      <c r="P164" s="44">
        <v>3250</v>
      </c>
      <c r="Q164" s="44">
        <f t="shared" si="272"/>
        <v>32500</v>
      </c>
      <c r="R164" s="50">
        <f aca="true" t="shared" si="275" ref="R164:T164">J164-N164</f>
        <v>26000</v>
      </c>
      <c r="S164" s="50">
        <f t="shared" si="275"/>
        <v>3250</v>
      </c>
      <c r="T164" s="50">
        <f t="shared" si="275"/>
        <v>3250</v>
      </c>
    </row>
    <row r="165" spans="2:20" s="3" customFormat="1" ht="19.5" customHeight="1">
      <c r="B165" s="76" t="s">
        <v>176</v>
      </c>
      <c r="C165" s="77">
        <v>38</v>
      </c>
      <c r="D165" s="44">
        <v>100</v>
      </c>
      <c r="E165" s="44">
        <v>100</v>
      </c>
      <c r="F165" s="44"/>
      <c r="G165" s="44"/>
      <c r="H165" s="44">
        <v>650</v>
      </c>
      <c r="I165" s="44">
        <f t="shared" si="267"/>
        <v>65000</v>
      </c>
      <c r="J165" s="44">
        <f t="shared" si="268"/>
        <v>52000</v>
      </c>
      <c r="K165" s="44">
        <f t="shared" si="269"/>
        <v>6500</v>
      </c>
      <c r="L165" s="44">
        <f t="shared" si="270"/>
        <v>6500</v>
      </c>
      <c r="M165" s="44">
        <f t="shared" si="271"/>
        <v>32500</v>
      </c>
      <c r="N165" s="44">
        <v>26000</v>
      </c>
      <c r="O165" s="44">
        <v>3250</v>
      </c>
      <c r="P165" s="44">
        <v>3250</v>
      </c>
      <c r="Q165" s="44">
        <f t="shared" si="272"/>
        <v>32500</v>
      </c>
      <c r="R165" s="50">
        <f aca="true" t="shared" si="276" ref="R165:T165">J165-N165</f>
        <v>26000</v>
      </c>
      <c r="S165" s="50">
        <f t="shared" si="276"/>
        <v>3250</v>
      </c>
      <c r="T165" s="50">
        <f t="shared" si="276"/>
        <v>3250</v>
      </c>
    </row>
    <row r="166" spans="2:20" s="3" customFormat="1" ht="19.5" customHeight="1">
      <c r="B166" s="76" t="s">
        <v>177</v>
      </c>
      <c r="C166" s="77">
        <v>48</v>
      </c>
      <c r="D166" s="44">
        <v>100</v>
      </c>
      <c r="E166" s="44">
        <v>100</v>
      </c>
      <c r="F166" s="44"/>
      <c r="G166" s="44"/>
      <c r="H166" s="44">
        <v>650</v>
      </c>
      <c r="I166" s="44">
        <f t="shared" si="267"/>
        <v>65000</v>
      </c>
      <c r="J166" s="44">
        <f t="shared" si="268"/>
        <v>52000</v>
      </c>
      <c r="K166" s="44">
        <f t="shared" si="269"/>
        <v>6500</v>
      </c>
      <c r="L166" s="44">
        <f t="shared" si="270"/>
        <v>6500</v>
      </c>
      <c r="M166" s="44">
        <f t="shared" si="271"/>
        <v>32500</v>
      </c>
      <c r="N166" s="44">
        <v>26000</v>
      </c>
      <c r="O166" s="44">
        <v>3250</v>
      </c>
      <c r="P166" s="44">
        <v>3250</v>
      </c>
      <c r="Q166" s="44">
        <f t="shared" si="272"/>
        <v>32500</v>
      </c>
      <c r="R166" s="50">
        <f aca="true" t="shared" si="277" ref="R166:T166">J166-N166</f>
        <v>26000</v>
      </c>
      <c r="S166" s="50">
        <f t="shared" si="277"/>
        <v>3250</v>
      </c>
      <c r="T166" s="50">
        <f t="shared" si="277"/>
        <v>3250</v>
      </c>
    </row>
    <row r="167" spans="2:20" s="3" customFormat="1" ht="19.5" customHeight="1">
      <c r="B167" s="76" t="s">
        <v>178</v>
      </c>
      <c r="C167" s="77">
        <v>61</v>
      </c>
      <c r="D167" s="44">
        <v>100</v>
      </c>
      <c r="E167" s="44">
        <v>100</v>
      </c>
      <c r="F167" s="44"/>
      <c r="G167" s="44"/>
      <c r="H167" s="44">
        <v>650</v>
      </c>
      <c r="I167" s="44">
        <f t="shared" si="267"/>
        <v>65000</v>
      </c>
      <c r="J167" s="44">
        <f t="shared" si="268"/>
        <v>52000</v>
      </c>
      <c r="K167" s="44">
        <f t="shared" si="269"/>
        <v>6500</v>
      </c>
      <c r="L167" s="44">
        <f t="shared" si="270"/>
        <v>6500</v>
      </c>
      <c r="M167" s="44">
        <f t="shared" si="271"/>
        <v>32500</v>
      </c>
      <c r="N167" s="44">
        <v>26000</v>
      </c>
      <c r="O167" s="44">
        <v>3250</v>
      </c>
      <c r="P167" s="44">
        <v>3250</v>
      </c>
      <c r="Q167" s="44">
        <f t="shared" si="272"/>
        <v>32500</v>
      </c>
      <c r="R167" s="50">
        <f aca="true" t="shared" si="278" ref="R167:T167">J167-N167</f>
        <v>26000</v>
      </c>
      <c r="S167" s="50">
        <f t="shared" si="278"/>
        <v>3250</v>
      </c>
      <c r="T167" s="50">
        <f t="shared" si="278"/>
        <v>3250</v>
      </c>
    </row>
    <row r="168" spans="2:20" s="3" customFormat="1" ht="19.5" customHeight="1">
      <c r="B168" s="76" t="s">
        <v>179</v>
      </c>
      <c r="C168" s="77">
        <v>68</v>
      </c>
      <c r="D168" s="44">
        <v>100</v>
      </c>
      <c r="E168" s="44">
        <v>100</v>
      </c>
      <c r="F168" s="44"/>
      <c r="G168" s="44"/>
      <c r="H168" s="44">
        <v>650</v>
      </c>
      <c r="I168" s="44">
        <f t="shared" si="267"/>
        <v>65000</v>
      </c>
      <c r="J168" s="44">
        <f t="shared" si="268"/>
        <v>52000</v>
      </c>
      <c r="K168" s="44">
        <f t="shared" si="269"/>
        <v>6500</v>
      </c>
      <c r="L168" s="44">
        <f t="shared" si="270"/>
        <v>6500</v>
      </c>
      <c r="M168" s="44">
        <f t="shared" si="271"/>
        <v>32500</v>
      </c>
      <c r="N168" s="44">
        <v>26000</v>
      </c>
      <c r="O168" s="44">
        <v>3250</v>
      </c>
      <c r="P168" s="44">
        <v>3250</v>
      </c>
      <c r="Q168" s="44">
        <f t="shared" si="272"/>
        <v>32500</v>
      </c>
      <c r="R168" s="50">
        <f aca="true" t="shared" si="279" ref="R168:T168">J168-N168</f>
        <v>26000</v>
      </c>
      <c r="S168" s="50">
        <f t="shared" si="279"/>
        <v>3250</v>
      </c>
      <c r="T168" s="50">
        <f t="shared" si="279"/>
        <v>3250</v>
      </c>
    </row>
    <row r="169" spans="2:20" s="3" customFormat="1" ht="19.5" customHeight="1">
      <c r="B169" s="76" t="s">
        <v>180</v>
      </c>
      <c r="C169" s="77">
        <v>50</v>
      </c>
      <c r="D169" s="44">
        <v>100</v>
      </c>
      <c r="E169" s="44">
        <v>100</v>
      </c>
      <c r="F169" s="44"/>
      <c r="G169" s="44"/>
      <c r="H169" s="44">
        <v>650</v>
      </c>
      <c r="I169" s="44">
        <f t="shared" si="267"/>
        <v>65000</v>
      </c>
      <c r="J169" s="44">
        <f t="shared" si="268"/>
        <v>52000</v>
      </c>
      <c r="K169" s="44">
        <f t="shared" si="269"/>
        <v>6500</v>
      </c>
      <c r="L169" s="44">
        <f t="shared" si="270"/>
        <v>6500</v>
      </c>
      <c r="M169" s="44">
        <f t="shared" si="271"/>
        <v>32500</v>
      </c>
      <c r="N169" s="44">
        <v>26000</v>
      </c>
      <c r="O169" s="44">
        <v>3250</v>
      </c>
      <c r="P169" s="44">
        <v>3250</v>
      </c>
      <c r="Q169" s="44">
        <f t="shared" si="272"/>
        <v>32500</v>
      </c>
      <c r="R169" s="50">
        <f aca="true" t="shared" si="280" ref="R169:T169">J169-N169</f>
        <v>26000</v>
      </c>
      <c r="S169" s="50">
        <f t="shared" si="280"/>
        <v>3250</v>
      </c>
      <c r="T169" s="50">
        <f t="shared" si="280"/>
        <v>3250</v>
      </c>
    </row>
    <row r="170" spans="2:20" s="27" customFormat="1" ht="19.5" customHeight="1">
      <c r="B170" s="51" t="s">
        <v>181</v>
      </c>
      <c r="C170" s="52">
        <f aca="true" t="shared" si="281" ref="C170:G170">SUM(C171:C178)</f>
        <v>768</v>
      </c>
      <c r="D170" s="52">
        <f t="shared" si="281"/>
        <v>1019</v>
      </c>
      <c r="E170" s="52">
        <f t="shared" si="281"/>
        <v>1011</v>
      </c>
      <c r="F170" s="52">
        <f t="shared" si="281"/>
        <v>4</v>
      </c>
      <c r="G170" s="52">
        <f t="shared" si="281"/>
        <v>4</v>
      </c>
      <c r="H170" s="52"/>
      <c r="I170" s="52">
        <f aca="true" t="shared" si="282" ref="I170:T170">SUM(I171:I178)</f>
        <v>749957.7</v>
      </c>
      <c r="J170" s="52">
        <f t="shared" si="282"/>
        <v>599966.1599999999</v>
      </c>
      <c r="K170" s="52">
        <f t="shared" si="282"/>
        <v>74995.76999999999</v>
      </c>
      <c r="L170" s="52">
        <f t="shared" si="282"/>
        <v>74995.76999999999</v>
      </c>
      <c r="M170" s="52">
        <f t="shared" si="282"/>
        <v>392550</v>
      </c>
      <c r="N170" s="52">
        <f t="shared" si="282"/>
        <v>314040</v>
      </c>
      <c r="O170" s="52">
        <f t="shared" si="282"/>
        <v>39255</v>
      </c>
      <c r="P170" s="52">
        <f t="shared" si="282"/>
        <v>39255</v>
      </c>
      <c r="Q170" s="52">
        <f t="shared" si="282"/>
        <v>357407.69999999995</v>
      </c>
      <c r="R170" s="52">
        <f t="shared" si="282"/>
        <v>285926.16</v>
      </c>
      <c r="S170" s="52">
        <f t="shared" si="282"/>
        <v>35740.77</v>
      </c>
      <c r="T170" s="52">
        <f t="shared" si="282"/>
        <v>35740.77</v>
      </c>
    </row>
    <row r="171" spans="2:20" s="3" customFormat="1" ht="19.5" customHeight="1">
      <c r="B171" s="78" t="s">
        <v>182</v>
      </c>
      <c r="C171" s="79">
        <v>719</v>
      </c>
      <c r="D171" s="79">
        <v>711</v>
      </c>
      <c r="E171" s="79">
        <v>711</v>
      </c>
      <c r="F171" s="44"/>
      <c r="G171" s="44"/>
      <c r="H171" s="44">
        <v>650</v>
      </c>
      <c r="I171" s="44">
        <f aca="true" t="shared" si="283" ref="I171:I178">SUM(J171:L171)</f>
        <v>441957.7</v>
      </c>
      <c r="J171" s="44">
        <f>381680-28113.84</f>
        <v>353566.16</v>
      </c>
      <c r="K171" s="44">
        <f>47710-3514.23</f>
        <v>44195.77</v>
      </c>
      <c r="L171" s="44">
        <f>47710-3514.23</f>
        <v>44195.77</v>
      </c>
      <c r="M171" s="44">
        <f aca="true" t="shared" si="284" ref="M171:M178">SUM(N171:P171)</f>
        <v>238550</v>
      </c>
      <c r="N171" s="44">
        <v>190840</v>
      </c>
      <c r="O171" s="44">
        <v>23855</v>
      </c>
      <c r="P171" s="44">
        <v>23855</v>
      </c>
      <c r="Q171" s="44">
        <f aca="true" t="shared" si="285" ref="Q171:Q178">SUM(R171:T171)</f>
        <v>203407.69999999995</v>
      </c>
      <c r="R171" s="50">
        <f aca="true" t="shared" si="286" ref="R171:T171">J171-N171</f>
        <v>162726.15999999997</v>
      </c>
      <c r="S171" s="50">
        <f t="shared" si="286"/>
        <v>20340.769999999997</v>
      </c>
      <c r="T171" s="50">
        <f t="shared" si="286"/>
        <v>20340.769999999997</v>
      </c>
    </row>
    <row r="172" spans="2:231" s="3" customFormat="1" ht="19.5" customHeight="1">
      <c r="B172" s="78" t="s">
        <v>183</v>
      </c>
      <c r="C172" s="79"/>
      <c r="D172" s="79">
        <v>3</v>
      </c>
      <c r="E172" s="59"/>
      <c r="F172" s="44">
        <v>3</v>
      </c>
      <c r="G172" s="44"/>
      <c r="H172" s="44">
        <v>6000</v>
      </c>
      <c r="I172" s="44">
        <f t="shared" si="283"/>
        <v>18000</v>
      </c>
      <c r="J172" s="44">
        <v>14400</v>
      </c>
      <c r="K172" s="44">
        <v>1800</v>
      </c>
      <c r="L172" s="44">
        <v>1800</v>
      </c>
      <c r="M172" s="44">
        <f t="shared" si="284"/>
        <v>9000</v>
      </c>
      <c r="N172" s="44">
        <v>7200</v>
      </c>
      <c r="O172" s="44">
        <v>900</v>
      </c>
      <c r="P172" s="44">
        <v>900</v>
      </c>
      <c r="Q172" s="44">
        <f t="shared" si="285"/>
        <v>9000</v>
      </c>
      <c r="R172" s="50">
        <f aca="true" t="shared" si="287" ref="R172:T172">J172-N172</f>
        <v>7200</v>
      </c>
      <c r="S172" s="50">
        <f t="shared" si="287"/>
        <v>900</v>
      </c>
      <c r="T172" s="50">
        <f t="shared" si="287"/>
        <v>900</v>
      </c>
      <c r="HT172" s="31"/>
      <c r="HU172" s="31"/>
      <c r="HV172" s="31"/>
      <c r="HW172" s="31"/>
    </row>
    <row r="173" spans="2:231" s="3" customFormat="1" ht="19.5" customHeight="1">
      <c r="B173" s="78" t="s">
        <v>184</v>
      </c>
      <c r="C173" s="79"/>
      <c r="D173" s="79">
        <v>4</v>
      </c>
      <c r="E173" s="59"/>
      <c r="F173" s="44"/>
      <c r="G173" s="44">
        <v>4</v>
      </c>
      <c r="H173" s="44">
        <v>6000</v>
      </c>
      <c r="I173" s="44">
        <f t="shared" si="283"/>
        <v>24000</v>
      </c>
      <c r="J173" s="44">
        <v>19200</v>
      </c>
      <c r="K173" s="44">
        <v>2400</v>
      </c>
      <c r="L173" s="44">
        <v>2400</v>
      </c>
      <c r="M173" s="44">
        <f t="shared" si="284"/>
        <v>12000</v>
      </c>
      <c r="N173" s="44">
        <v>9600</v>
      </c>
      <c r="O173" s="44">
        <v>1200</v>
      </c>
      <c r="P173" s="44">
        <v>1200</v>
      </c>
      <c r="Q173" s="44">
        <f t="shared" si="285"/>
        <v>12000</v>
      </c>
      <c r="R173" s="50">
        <f aca="true" t="shared" si="288" ref="R173:T173">J173-N173</f>
        <v>9600</v>
      </c>
      <c r="S173" s="50">
        <f t="shared" si="288"/>
        <v>1200</v>
      </c>
      <c r="T173" s="50">
        <f t="shared" si="288"/>
        <v>1200</v>
      </c>
      <c r="HT173" s="31"/>
      <c r="HU173" s="31"/>
      <c r="HV173" s="31"/>
      <c r="HW173" s="31"/>
    </row>
    <row r="174" spans="2:20" s="3" customFormat="1" ht="19.5" customHeight="1">
      <c r="B174" s="78" t="s">
        <v>185</v>
      </c>
      <c r="C174" s="79">
        <v>8</v>
      </c>
      <c r="D174" s="44">
        <v>100</v>
      </c>
      <c r="E174" s="44">
        <v>100</v>
      </c>
      <c r="F174" s="44"/>
      <c r="G174" s="44"/>
      <c r="H174" s="44">
        <v>650</v>
      </c>
      <c r="I174" s="44">
        <f t="shared" si="283"/>
        <v>65000</v>
      </c>
      <c r="J174" s="44">
        <v>52000</v>
      </c>
      <c r="K174" s="44">
        <v>6500</v>
      </c>
      <c r="L174" s="44">
        <v>6500</v>
      </c>
      <c r="M174" s="44">
        <f t="shared" si="284"/>
        <v>32500</v>
      </c>
      <c r="N174" s="44">
        <v>26000</v>
      </c>
      <c r="O174" s="44">
        <v>3250</v>
      </c>
      <c r="P174" s="44">
        <v>3250</v>
      </c>
      <c r="Q174" s="44">
        <f t="shared" si="285"/>
        <v>32500</v>
      </c>
      <c r="R174" s="50">
        <f aca="true" t="shared" si="289" ref="R174:T174">J174-N174</f>
        <v>26000</v>
      </c>
      <c r="S174" s="50">
        <f t="shared" si="289"/>
        <v>3250</v>
      </c>
      <c r="T174" s="50">
        <f t="shared" si="289"/>
        <v>3250</v>
      </c>
    </row>
    <row r="175" spans="2:20" s="3" customFormat="1" ht="19.5" customHeight="1">
      <c r="B175" s="78" t="s">
        <v>186</v>
      </c>
      <c r="C175" s="79">
        <v>35</v>
      </c>
      <c r="D175" s="44">
        <v>100</v>
      </c>
      <c r="E175" s="44">
        <v>100</v>
      </c>
      <c r="F175" s="44"/>
      <c r="G175" s="44"/>
      <c r="H175" s="44">
        <v>650</v>
      </c>
      <c r="I175" s="44">
        <f t="shared" si="283"/>
        <v>65000</v>
      </c>
      <c r="J175" s="44">
        <v>52000</v>
      </c>
      <c r="K175" s="44">
        <v>6500</v>
      </c>
      <c r="L175" s="44">
        <v>6500</v>
      </c>
      <c r="M175" s="44">
        <f t="shared" si="284"/>
        <v>32500</v>
      </c>
      <c r="N175" s="44">
        <v>26000</v>
      </c>
      <c r="O175" s="44">
        <v>3250</v>
      </c>
      <c r="P175" s="44">
        <v>3250</v>
      </c>
      <c r="Q175" s="44">
        <f t="shared" si="285"/>
        <v>32500</v>
      </c>
      <c r="R175" s="50">
        <f aca="true" t="shared" si="290" ref="R175:T175">J175-N175</f>
        <v>26000</v>
      </c>
      <c r="S175" s="50">
        <f t="shared" si="290"/>
        <v>3250</v>
      </c>
      <c r="T175" s="50">
        <f t="shared" si="290"/>
        <v>3250</v>
      </c>
    </row>
    <row r="176" spans="2:231" s="3" customFormat="1" ht="19.5" customHeight="1">
      <c r="B176" s="78" t="s">
        <v>187</v>
      </c>
      <c r="C176" s="79"/>
      <c r="D176" s="44">
        <v>1</v>
      </c>
      <c r="E176" s="44"/>
      <c r="F176" s="44">
        <v>1</v>
      </c>
      <c r="G176" s="44"/>
      <c r="H176" s="44">
        <v>6000</v>
      </c>
      <c r="I176" s="44">
        <f t="shared" si="283"/>
        <v>6000</v>
      </c>
      <c r="J176" s="44">
        <v>4800</v>
      </c>
      <c r="K176" s="44">
        <v>600</v>
      </c>
      <c r="L176" s="44">
        <v>600</v>
      </c>
      <c r="M176" s="44">
        <f t="shared" si="284"/>
        <v>3000</v>
      </c>
      <c r="N176" s="44">
        <v>2400</v>
      </c>
      <c r="O176" s="44">
        <v>300</v>
      </c>
      <c r="P176" s="44">
        <v>300</v>
      </c>
      <c r="Q176" s="44">
        <f t="shared" si="285"/>
        <v>3000</v>
      </c>
      <c r="R176" s="50">
        <f aca="true" t="shared" si="291" ref="R176:T176">J176-N176</f>
        <v>2400</v>
      </c>
      <c r="S176" s="50">
        <f t="shared" si="291"/>
        <v>300</v>
      </c>
      <c r="T176" s="50">
        <f t="shared" si="291"/>
        <v>300</v>
      </c>
      <c r="HT176" s="31"/>
      <c r="HU176" s="31"/>
      <c r="HV176" s="31"/>
      <c r="HW176" s="31"/>
    </row>
    <row r="177" spans="2:20" s="3" customFormat="1" ht="19.5" customHeight="1">
      <c r="B177" s="78" t="s">
        <v>188</v>
      </c>
      <c r="C177" s="79"/>
      <c r="D177" s="44"/>
      <c r="E177" s="44"/>
      <c r="F177" s="44"/>
      <c r="G177" s="44"/>
      <c r="H177" s="44">
        <v>650</v>
      </c>
      <c r="I177" s="44">
        <f t="shared" si="283"/>
        <v>65000</v>
      </c>
      <c r="J177" s="44">
        <v>52000</v>
      </c>
      <c r="K177" s="44">
        <v>6500</v>
      </c>
      <c r="L177" s="44">
        <v>6500</v>
      </c>
      <c r="M177" s="44">
        <f t="shared" si="284"/>
        <v>32500</v>
      </c>
      <c r="N177" s="44">
        <v>26000</v>
      </c>
      <c r="O177" s="44">
        <v>3250</v>
      </c>
      <c r="P177" s="44">
        <v>3250</v>
      </c>
      <c r="Q177" s="44">
        <f t="shared" si="285"/>
        <v>32500</v>
      </c>
      <c r="R177" s="50">
        <f aca="true" t="shared" si="292" ref="R177:T177">J177-N177</f>
        <v>26000</v>
      </c>
      <c r="S177" s="50">
        <f t="shared" si="292"/>
        <v>3250</v>
      </c>
      <c r="T177" s="50">
        <f t="shared" si="292"/>
        <v>3250</v>
      </c>
    </row>
    <row r="178" spans="2:20" s="3" customFormat="1" ht="19.5" customHeight="1">
      <c r="B178" s="78" t="s">
        <v>189</v>
      </c>
      <c r="C178" s="79">
        <v>6</v>
      </c>
      <c r="D178" s="44">
        <v>100</v>
      </c>
      <c r="E178" s="44">
        <v>100</v>
      </c>
      <c r="F178" s="44"/>
      <c r="G178" s="44"/>
      <c r="H178" s="44">
        <v>650</v>
      </c>
      <c r="I178" s="44">
        <f t="shared" si="283"/>
        <v>65000</v>
      </c>
      <c r="J178" s="44">
        <v>52000</v>
      </c>
      <c r="K178" s="44">
        <v>6500</v>
      </c>
      <c r="L178" s="44">
        <v>6500</v>
      </c>
      <c r="M178" s="44">
        <f t="shared" si="284"/>
        <v>32500</v>
      </c>
      <c r="N178" s="44">
        <v>26000</v>
      </c>
      <c r="O178" s="44">
        <v>3250</v>
      </c>
      <c r="P178" s="44">
        <v>3250</v>
      </c>
      <c r="Q178" s="44">
        <f t="shared" si="285"/>
        <v>32500</v>
      </c>
      <c r="R178" s="50">
        <f aca="true" t="shared" si="293" ref="R178:T178">J178-N178</f>
        <v>26000</v>
      </c>
      <c r="S178" s="50">
        <f t="shared" si="293"/>
        <v>3250</v>
      </c>
      <c r="T178" s="50">
        <f t="shared" si="293"/>
        <v>3250</v>
      </c>
    </row>
    <row r="179" spans="2:20" s="27" customFormat="1" ht="19.5" customHeight="1">
      <c r="B179" s="51" t="s">
        <v>190</v>
      </c>
      <c r="C179" s="52">
        <f aca="true" t="shared" si="294" ref="C179:G179">SUM(C180:C187)</f>
        <v>691</v>
      </c>
      <c r="D179" s="52">
        <f t="shared" si="294"/>
        <v>1043</v>
      </c>
      <c r="E179" s="52">
        <f t="shared" si="294"/>
        <v>1037</v>
      </c>
      <c r="F179" s="52">
        <f t="shared" si="294"/>
        <v>4</v>
      </c>
      <c r="G179" s="52">
        <f t="shared" si="294"/>
        <v>2</v>
      </c>
      <c r="H179" s="52"/>
      <c r="I179" s="52">
        <f aca="true" t="shared" si="295" ref="I179:T179">SUM(I180:I187)</f>
        <v>710050</v>
      </c>
      <c r="J179" s="52">
        <f t="shared" si="295"/>
        <v>568040</v>
      </c>
      <c r="K179" s="52">
        <f t="shared" si="295"/>
        <v>71005</v>
      </c>
      <c r="L179" s="52">
        <f t="shared" si="295"/>
        <v>71005</v>
      </c>
      <c r="M179" s="52">
        <f t="shared" si="295"/>
        <v>355025</v>
      </c>
      <c r="N179" s="52">
        <f t="shared" si="295"/>
        <v>284020</v>
      </c>
      <c r="O179" s="52">
        <f t="shared" si="295"/>
        <v>35502.5</v>
      </c>
      <c r="P179" s="52">
        <f t="shared" si="295"/>
        <v>35502.5</v>
      </c>
      <c r="Q179" s="52">
        <f t="shared" si="295"/>
        <v>355025</v>
      </c>
      <c r="R179" s="52">
        <f t="shared" si="295"/>
        <v>284020</v>
      </c>
      <c r="S179" s="52">
        <f t="shared" si="295"/>
        <v>35502.5</v>
      </c>
      <c r="T179" s="52">
        <f t="shared" si="295"/>
        <v>35502.5</v>
      </c>
    </row>
    <row r="180" spans="2:20" s="3" customFormat="1" ht="19.5" customHeight="1">
      <c r="B180" s="80" t="s">
        <v>191</v>
      </c>
      <c r="C180" s="81">
        <v>642</v>
      </c>
      <c r="D180" s="81">
        <v>637</v>
      </c>
      <c r="E180" s="81">
        <v>637</v>
      </c>
      <c r="F180" s="44"/>
      <c r="G180" s="44"/>
      <c r="H180" s="44">
        <v>650</v>
      </c>
      <c r="I180" s="44">
        <f aca="true" t="shared" si="296" ref="I180:I187">SUM(J180:L180)</f>
        <v>414050</v>
      </c>
      <c r="J180" s="44">
        <f aca="true" t="shared" si="297" ref="J180:J185">ROUND(E180*H180*0.8,2)</f>
        <v>331240</v>
      </c>
      <c r="K180" s="44">
        <f aca="true" t="shared" si="298" ref="K180:K185">ROUND(E180*H180*0.1,2)</f>
        <v>41405</v>
      </c>
      <c r="L180" s="44">
        <f aca="true" t="shared" si="299" ref="L180:L185">ROUND(E180*H180*0.1,2)</f>
        <v>41405</v>
      </c>
      <c r="M180" s="44">
        <f aca="true" t="shared" si="300" ref="M180:M187">SUM(N180:P180)</f>
        <v>207025</v>
      </c>
      <c r="N180" s="44">
        <v>165620</v>
      </c>
      <c r="O180" s="44">
        <v>20702.5</v>
      </c>
      <c r="P180" s="44">
        <v>20702.5</v>
      </c>
      <c r="Q180" s="44">
        <f aca="true" t="shared" si="301" ref="Q180:Q187">SUM(R180:T180)</f>
        <v>207025</v>
      </c>
      <c r="R180" s="50">
        <f aca="true" t="shared" si="302" ref="R180:T180">J180-N180</f>
        <v>165620</v>
      </c>
      <c r="S180" s="50">
        <f t="shared" si="302"/>
        <v>20702.5</v>
      </c>
      <c r="T180" s="50">
        <f t="shared" si="302"/>
        <v>20702.5</v>
      </c>
    </row>
    <row r="181" spans="2:231" s="3" customFormat="1" ht="19.5" customHeight="1">
      <c r="B181" s="80" t="s">
        <v>192</v>
      </c>
      <c r="C181" s="81"/>
      <c r="D181" s="81">
        <v>3</v>
      </c>
      <c r="E181" s="59"/>
      <c r="F181" s="44">
        <v>3</v>
      </c>
      <c r="G181" s="44"/>
      <c r="H181" s="44">
        <v>6000</v>
      </c>
      <c r="I181" s="44">
        <f t="shared" si="296"/>
        <v>18000</v>
      </c>
      <c r="J181" s="44">
        <f>ROUND(F181*H181*0.8,2)</f>
        <v>14400</v>
      </c>
      <c r="K181" s="44">
        <f>ROUND(F181*H181*0.1,2)</f>
        <v>1800</v>
      </c>
      <c r="L181" s="44">
        <f>ROUND(F181*H181*0.1,2)</f>
        <v>1800</v>
      </c>
      <c r="M181" s="44">
        <f t="shared" si="300"/>
        <v>9000</v>
      </c>
      <c r="N181" s="44">
        <v>7200</v>
      </c>
      <c r="O181" s="44">
        <v>900</v>
      </c>
      <c r="P181" s="44">
        <v>900</v>
      </c>
      <c r="Q181" s="44">
        <f t="shared" si="301"/>
        <v>9000</v>
      </c>
      <c r="R181" s="50">
        <f aca="true" t="shared" si="303" ref="R181:T181">J181-N181</f>
        <v>7200</v>
      </c>
      <c r="S181" s="50">
        <f t="shared" si="303"/>
        <v>900</v>
      </c>
      <c r="T181" s="50">
        <f t="shared" si="303"/>
        <v>900</v>
      </c>
      <c r="HT181" s="31"/>
      <c r="HU181" s="31"/>
      <c r="HV181" s="31"/>
      <c r="HW181" s="31"/>
    </row>
    <row r="182" spans="2:231" s="3" customFormat="1" ht="19.5" customHeight="1">
      <c r="B182" s="80" t="s">
        <v>193</v>
      </c>
      <c r="C182" s="81"/>
      <c r="D182" s="81">
        <v>2</v>
      </c>
      <c r="E182" s="59"/>
      <c r="F182" s="44"/>
      <c r="G182" s="44">
        <v>2</v>
      </c>
      <c r="H182" s="44">
        <v>6000</v>
      </c>
      <c r="I182" s="44">
        <f t="shared" si="296"/>
        <v>12000</v>
      </c>
      <c r="J182" s="44">
        <f>ROUND(G182*H182*0.8,2)</f>
        <v>9600</v>
      </c>
      <c r="K182" s="44">
        <f>ROUND(G182*H182*0.1,2)</f>
        <v>1200</v>
      </c>
      <c r="L182" s="44">
        <f>ROUND(G182*H182*0.1,2)</f>
        <v>1200</v>
      </c>
      <c r="M182" s="44">
        <f t="shared" si="300"/>
        <v>6000</v>
      </c>
      <c r="N182" s="44">
        <v>4800</v>
      </c>
      <c r="O182" s="44">
        <v>600</v>
      </c>
      <c r="P182" s="44">
        <v>600</v>
      </c>
      <c r="Q182" s="44">
        <f t="shared" si="301"/>
        <v>6000</v>
      </c>
      <c r="R182" s="50">
        <f aca="true" t="shared" si="304" ref="R182:T182">J182-N182</f>
        <v>4800</v>
      </c>
      <c r="S182" s="50">
        <f t="shared" si="304"/>
        <v>600</v>
      </c>
      <c r="T182" s="50">
        <f t="shared" si="304"/>
        <v>600</v>
      </c>
      <c r="HT182" s="31"/>
      <c r="HU182" s="31"/>
      <c r="HV182" s="31"/>
      <c r="HW182" s="31"/>
    </row>
    <row r="183" spans="2:20" s="3" customFormat="1" ht="19.5" customHeight="1">
      <c r="B183" s="80" t="s">
        <v>194</v>
      </c>
      <c r="C183" s="81">
        <v>13</v>
      </c>
      <c r="D183" s="44">
        <v>100</v>
      </c>
      <c r="E183" s="44">
        <v>100</v>
      </c>
      <c r="F183" s="44"/>
      <c r="G183" s="44"/>
      <c r="H183" s="44">
        <v>650</v>
      </c>
      <c r="I183" s="44">
        <f t="shared" si="296"/>
        <v>65000</v>
      </c>
      <c r="J183" s="44">
        <f t="shared" si="297"/>
        <v>52000</v>
      </c>
      <c r="K183" s="44">
        <f t="shared" si="298"/>
        <v>6500</v>
      </c>
      <c r="L183" s="44">
        <f t="shared" si="299"/>
        <v>6500</v>
      </c>
      <c r="M183" s="44">
        <f t="shared" si="300"/>
        <v>32500</v>
      </c>
      <c r="N183" s="44">
        <v>26000</v>
      </c>
      <c r="O183" s="44">
        <v>3250</v>
      </c>
      <c r="P183" s="44">
        <v>3250</v>
      </c>
      <c r="Q183" s="44">
        <f t="shared" si="301"/>
        <v>32500</v>
      </c>
      <c r="R183" s="50">
        <f aca="true" t="shared" si="305" ref="R183:T183">J183-N183</f>
        <v>26000</v>
      </c>
      <c r="S183" s="50">
        <f t="shared" si="305"/>
        <v>3250</v>
      </c>
      <c r="T183" s="50">
        <f t="shared" si="305"/>
        <v>3250</v>
      </c>
    </row>
    <row r="184" spans="2:20" s="3" customFormat="1" ht="19.5" customHeight="1">
      <c r="B184" s="80" t="s">
        <v>195</v>
      </c>
      <c r="C184" s="81">
        <v>16</v>
      </c>
      <c r="D184" s="44">
        <v>100</v>
      </c>
      <c r="E184" s="44">
        <v>100</v>
      </c>
      <c r="F184" s="44"/>
      <c r="G184" s="44"/>
      <c r="H184" s="44">
        <v>650</v>
      </c>
      <c r="I184" s="44">
        <f t="shared" si="296"/>
        <v>65000</v>
      </c>
      <c r="J184" s="44">
        <f t="shared" si="297"/>
        <v>52000</v>
      </c>
      <c r="K184" s="44">
        <f t="shared" si="298"/>
        <v>6500</v>
      </c>
      <c r="L184" s="44">
        <f t="shared" si="299"/>
        <v>6500</v>
      </c>
      <c r="M184" s="44">
        <f t="shared" si="300"/>
        <v>32500</v>
      </c>
      <c r="N184" s="44">
        <v>26000</v>
      </c>
      <c r="O184" s="44">
        <v>3250</v>
      </c>
      <c r="P184" s="44">
        <v>3250</v>
      </c>
      <c r="Q184" s="44">
        <f t="shared" si="301"/>
        <v>32500</v>
      </c>
      <c r="R184" s="50">
        <f aca="true" t="shared" si="306" ref="R184:T184">J184-N184</f>
        <v>26000</v>
      </c>
      <c r="S184" s="50">
        <f t="shared" si="306"/>
        <v>3250</v>
      </c>
      <c r="T184" s="50">
        <f t="shared" si="306"/>
        <v>3250</v>
      </c>
    </row>
    <row r="185" spans="2:20" s="3" customFormat="1" ht="19.5" customHeight="1">
      <c r="B185" s="80" t="s">
        <v>196</v>
      </c>
      <c r="C185" s="81">
        <v>14</v>
      </c>
      <c r="D185" s="44">
        <v>100</v>
      </c>
      <c r="E185" s="44">
        <v>100</v>
      </c>
      <c r="F185" s="44"/>
      <c r="G185" s="44"/>
      <c r="H185" s="44">
        <v>650</v>
      </c>
      <c r="I185" s="44">
        <f t="shared" si="296"/>
        <v>65000</v>
      </c>
      <c r="J185" s="44">
        <f t="shared" si="297"/>
        <v>52000</v>
      </c>
      <c r="K185" s="44">
        <f t="shared" si="298"/>
        <v>6500</v>
      </c>
      <c r="L185" s="44">
        <f t="shared" si="299"/>
        <v>6500</v>
      </c>
      <c r="M185" s="44">
        <f t="shared" si="300"/>
        <v>32500</v>
      </c>
      <c r="N185" s="44">
        <v>26000</v>
      </c>
      <c r="O185" s="44">
        <v>3250</v>
      </c>
      <c r="P185" s="44">
        <v>3250</v>
      </c>
      <c r="Q185" s="44">
        <f t="shared" si="301"/>
        <v>32500</v>
      </c>
      <c r="R185" s="50">
        <f aca="true" t="shared" si="307" ref="R185:T185">J185-N185</f>
        <v>26000</v>
      </c>
      <c r="S185" s="50">
        <f t="shared" si="307"/>
        <v>3250</v>
      </c>
      <c r="T185" s="50">
        <f t="shared" si="307"/>
        <v>3250</v>
      </c>
    </row>
    <row r="186" spans="2:231" s="3" customFormat="1" ht="19.5" customHeight="1">
      <c r="B186" s="80" t="s">
        <v>197</v>
      </c>
      <c r="C186" s="81"/>
      <c r="D186" s="44">
        <v>1</v>
      </c>
      <c r="E186" s="44"/>
      <c r="F186" s="44">
        <v>1</v>
      </c>
      <c r="G186" s="44"/>
      <c r="H186" s="44">
        <v>6000</v>
      </c>
      <c r="I186" s="44">
        <f t="shared" si="296"/>
        <v>6000</v>
      </c>
      <c r="J186" s="44">
        <f>ROUND(F186*H186*0.8,2)</f>
        <v>4800</v>
      </c>
      <c r="K186" s="44">
        <f>ROUND(F186*H186*0.1,2)</f>
        <v>600</v>
      </c>
      <c r="L186" s="44">
        <f>ROUND(F186*H186*0.1,2)</f>
        <v>600</v>
      </c>
      <c r="M186" s="44">
        <f t="shared" si="300"/>
        <v>3000</v>
      </c>
      <c r="N186" s="44">
        <v>2400</v>
      </c>
      <c r="O186" s="44">
        <v>300</v>
      </c>
      <c r="P186" s="44">
        <v>300</v>
      </c>
      <c r="Q186" s="44">
        <f t="shared" si="301"/>
        <v>3000</v>
      </c>
      <c r="R186" s="50">
        <f aca="true" t="shared" si="308" ref="R186:T186">J186-N186</f>
        <v>2400</v>
      </c>
      <c r="S186" s="50">
        <f t="shared" si="308"/>
        <v>300</v>
      </c>
      <c r="T186" s="50">
        <f t="shared" si="308"/>
        <v>300</v>
      </c>
      <c r="HT186" s="31"/>
      <c r="HU186" s="31"/>
      <c r="HV186" s="31"/>
      <c r="HW186" s="31"/>
    </row>
    <row r="187" spans="2:20" s="3" customFormat="1" ht="19.5" customHeight="1">
      <c r="B187" s="80" t="s">
        <v>198</v>
      </c>
      <c r="C187" s="81">
        <v>6</v>
      </c>
      <c r="D187" s="44">
        <v>100</v>
      </c>
      <c r="E187" s="44">
        <v>100</v>
      </c>
      <c r="F187" s="44"/>
      <c r="G187" s="44"/>
      <c r="H187" s="44">
        <v>650</v>
      </c>
      <c r="I187" s="44">
        <f t="shared" si="296"/>
        <v>65000</v>
      </c>
      <c r="J187" s="44">
        <f aca="true" t="shared" si="309" ref="J187:J201">ROUND(E187*H187*0.8,2)</f>
        <v>52000</v>
      </c>
      <c r="K187" s="44">
        <f aca="true" t="shared" si="310" ref="K187:K201">ROUND(E187*H187*0.1,2)</f>
        <v>6500</v>
      </c>
      <c r="L187" s="44">
        <f aca="true" t="shared" si="311" ref="L187:L201">ROUND(E187*H187*0.1,2)</f>
        <v>6500</v>
      </c>
      <c r="M187" s="44">
        <f t="shared" si="300"/>
        <v>32500</v>
      </c>
      <c r="N187" s="44">
        <v>26000</v>
      </c>
      <c r="O187" s="44">
        <v>3250</v>
      </c>
      <c r="P187" s="44">
        <v>3250</v>
      </c>
      <c r="Q187" s="44">
        <f t="shared" si="301"/>
        <v>32500</v>
      </c>
      <c r="R187" s="50">
        <f aca="true" t="shared" si="312" ref="R187:T187">J187-N187</f>
        <v>26000</v>
      </c>
      <c r="S187" s="50">
        <f t="shared" si="312"/>
        <v>3250</v>
      </c>
      <c r="T187" s="50">
        <f t="shared" si="312"/>
        <v>3250</v>
      </c>
    </row>
    <row r="188" spans="2:20" s="27" customFormat="1" ht="19.5" customHeight="1">
      <c r="B188" s="51" t="s">
        <v>199</v>
      </c>
      <c r="C188" s="52">
        <f aca="true" t="shared" si="313" ref="C188:G188">SUM(C189:C201)</f>
        <v>1322</v>
      </c>
      <c r="D188" s="52">
        <f t="shared" si="313"/>
        <v>2113</v>
      </c>
      <c r="E188" s="52">
        <f t="shared" si="313"/>
        <v>2108</v>
      </c>
      <c r="F188" s="52">
        <f t="shared" si="313"/>
        <v>1</v>
      </c>
      <c r="G188" s="52">
        <f t="shared" si="313"/>
        <v>4</v>
      </c>
      <c r="H188" s="52"/>
      <c r="I188" s="52">
        <f aca="true" t="shared" si="314" ref="I188:T188">SUM(I189:I201)</f>
        <v>1400200</v>
      </c>
      <c r="J188" s="52">
        <f t="shared" si="314"/>
        <v>1120160</v>
      </c>
      <c r="K188" s="52">
        <f t="shared" si="314"/>
        <v>140020</v>
      </c>
      <c r="L188" s="52">
        <f t="shared" si="314"/>
        <v>140020</v>
      </c>
      <c r="M188" s="52">
        <f t="shared" si="314"/>
        <v>700100</v>
      </c>
      <c r="N188" s="52">
        <f t="shared" si="314"/>
        <v>560080</v>
      </c>
      <c r="O188" s="52">
        <f t="shared" si="314"/>
        <v>70010</v>
      </c>
      <c r="P188" s="52">
        <f t="shared" si="314"/>
        <v>70010</v>
      </c>
      <c r="Q188" s="52">
        <f t="shared" si="314"/>
        <v>700100</v>
      </c>
      <c r="R188" s="52">
        <f t="shared" si="314"/>
        <v>560080</v>
      </c>
      <c r="S188" s="52">
        <f t="shared" si="314"/>
        <v>70010</v>
      </c>
      <c r="T188" s="52">
        <f t="shared" si="314"/>
        <v>70010</v>
      </c>
    </row>
    <row r="189" spans="2:20" s="3" customFormat="1" ht="19.5" customHeight="1">
      <c r="B189" s="82" t="s">
        <v>200</v>
      </c>
      <c r="C189" s="83">
        <v>1113</v>
      </c>
      <c r="D189" s="83">
        <v>1108</v>
      </c>
      <c r="E189" s="83">
        <v>1108</v>
      </c>
      <c r="F189" s="44"/>
      <c r="G189" s="44"/>
      <c r="H189" s="44">
        <v>650</v>
      </c>
      <c r="I189" s="44">
        <f aca="true" t="shared" si="315" ref="I189:I201">SUM(J189:L189)</f>
        <v>720200</v>
      </c>
      <c r="J189" s="44">
        <f t="shared" si="309"/>
        <v>576160</v>
      </c>
      <c r="K189" s="44">
        <f t="shared" si="310"/>
        <v>72020</v>
      </c>
      <c r="L189" s="44">
        <f t="shared" si="311"/>
        <v>72020</v>
      </c>
      <c r="M189" s="44">
        <f aca="true" t="shared" si="316" ref="M189:M201">SUM(N189:P189)</f>
        <v>360100</v>
      </c>
      <c r="N189" s="44">
        <v>288080</v>
      </c>
      <c r="O189" s="44">
        <v>36010</v>
      </c>
      <c r="P189" s="44">
        <v>36010</v>
      </c>
      <c r="Q189" s="44">
        <f aca="true" t="shared" si="317" ref="Q189:Q201">SUM(R189:T189)</f>
        <v>360100</v>
      </c>
      <c r="R189" s="50">
        <f aca="true" t="shared" si="318" ref="R189:T189">J189-N189</f>
        <v>288080</v>
      </c>
      <c r="S189" s="50">
        <f t="shared" si="318"/>
        <v>36010</v>
      </c>
      <c r="T189" s="50">
        <f t="shared" si="318"/>
        <v>36010</v>
      </c>
    </row>
    <row r="190" spans="2:231" s="3" customFormat="1" ht="19.5" customHeight="1">
      <c r="B190" s="82" t="s">
        <v>201</v>
      </c>
      <c r="C190" s="83"/>
      <c r="D190" s="83">
        <v>1</v>
      </c>
      <c r="E190" s="83"/>
      <c r="F190" s="44">
        <v>1</v>
      </c>
      <c r="G190" s="44"/>
      <c r="H190" s="44">
        <v>6000</v>
      </c>
      <c r="I190" s="44">
        <f t="shared" si="315"/>
        <v>6000</v>
      </c>
      <c r="J190" s="44">
        <f>ROUND(F190*H190*0.8,2)</f>
        <v>4800</v>
      </c>
      <c r="K190" s="44">
        <f>ROUND(F190*H190*0.1,2)</f>
        <v>600</v>
      </c>
      <c r="L190" s="44">
        <f>ROUND(F190*H190*0.1,2)</f>
        <v>600</v>
      </c>
      <c r="M190" s="44">
        <f t="shared" si="316"/>
        <v>3000</v>
      </c>
      <c r="N190" s="44">
        <v>2400</v>
      </c>
      <c r="O190" s="44">
        <v>300</v>
      </c>
      <c r="P190" s="44">
        <v>300</v>
      </c>
      <c r="Q190" s="44">
        <f t="shared" si="317"/>
        <v>3000</v>
      </c>
      <c r="R190" s="50">
        <f aca="true" t="shared" si="319" ref="R190:T190">J190-N190</f>
        <v>2400</v>
      </c>
      <c r="S190" s="50">
        <f t="shared" si="319"/>
        <v>300</v>
      </c>
      <c r="T190" s="50">
        <f t="shared" si="319"/>
        <v>300</v>
      </c>
      <c r="HT190" s="31"/>
      <c r="HU190" s="31"/>
      <c r="HV190" s="31"/>
      <c r="HW190" s="31"/>
    </row>
    <row r="191" spans="2:231" s="3" customFormat="1" ht="19.5" customHeight="1">
      <c r="B191" s="82" t="s">
        <v>202</v>
      </c>
      <c r="C191" s="83"/>
      <c r="D191" s="83">
        <v>4</v>
      </c>
      <c r="E191" s="83"/>
      <c r="F191" s="44"/>
      <c r="G191" s="44">
        <v>4</v>
      </c>
      <c r="H191" s="44">
        <v>6000</v>
      </c>
      <c r="I191" s="44">
        <f t="shared" si="315"/>
        <v>24000</v>
      </c>
      <c r="J191" s="44">
        <f>ROUND(G191*H191*0.8,2)</f>
        <v>19200</v>
      </c>
      <c r="K191" s="44">
        <f>ROUND(G191*H191*0.1,2)</f>
        <v>2400</v>
      </c>
      <c r="L191" s="44">
        <f>ROUND(G191*H191*0.1,2)</f>
        <v>2400</v>
      </c>
      <c r="M191" s="44">
        <f t="shared" si="316"/>
        <v>12000</v>
      </c>
      <c r="N191" s="44">
        <v>9600</v>
      </c>
      <c r="O191" s="44">
        <v>1200</v>
      </c>
      <c r="P191" s="44">
        <v>1200</v>
      </c>
      <c r="Q191" s="44">
        <f t="shared" si="317"/>
        <v>12000</v>
      </c>
      <c r="R191" s="50">
        <f aca="true" t="shared" si="320" ref="R191:T191">J191-N191</f>
        <v>9600</v>
      </c>
      <c r="S191" s="50">
        <f t="shared" si="320"/>
        <v>1200</v>
      </c>
      <c r="T191" s="50">
        <f t="shared" si="320"/>
        <v>1200</v>
      </c>
      <c r="HT191" s="31"/>
      <c r="HU191" s="31"/>
      <c r="HV191" s="31"/>
      <c r="HW191" s="31"/>
    </row>
    <row r="192" spans="2:20" s="3" customFormat="1" ht="19.5" customHeight="1">
      <c r="B192" s="82" t="s">
        <v>203</v>
      </c>
      <c r="C192" s="83">
        <v>15</v>
      </c>
      <c r="D192" s="44">
        <v>100</v>
      </c>
      <c r="E192" s="44">
        <v>100</v>
      </c>
      <c r="F192" s="44"/>
      <c r="G192" s="44"/>
      <c r="H192" s="44">
        <v>650</v>
      </c>
      <c r="I192" s="44">
        <f t="shared" si="315"/>
        <v>65000</v>
      </c>
      <c r="J192" s="44">
        <f t="shared" si="309"/>
        <v>52000</v>
      </c>
      <c r="K192" s="44">
        <f t="shared" si="310"/>
        <v>6500</v>
      </c>
      <c r="L192" s="44">
        <f t="shared" si="311"/>
        <v>6500</v>
      </c>
      <c r="M192" s="44">
        <f t="shared" si="316"/>
        <v>32500</v>
      </c>
      <c r="N192" s="44">
        <v>26000</v>
      </c>
      <c r="O192" s="44">
        <v>3250</v>
      </c>
      <c r="P192" s="44">
        <v>3250</v>
      </c>
      <c r="Q192" s="44">
        <f t="shared" si="317"/>
        <v>32500</v>
      </c>
      <c r="R192" s="50">
        <f aca="true" t="shared" si="321" ref="R192:T192">J192-N192</f>
        <v>26000</v>
      </c>
      <c r="S192" s="50">
        <f t="shared" si="321"/>
        <v>3250</v>
      </c>
      <c r="T192" s="50">
        <f t="shared" si="321"/>
        <v>3250</v>
      </c>
    </row>
    <row r="193" spans="2:20" s="3" customFormat="1" ht="19.5" customHeight="1">
      <c r="B193" s="82" t="s">
        <v>204</v>
      </c>
      <c r="C193" s="83">
        <v>27</v>
      </c>
      <c r="D193" s="44">
        <v>100</v>
      </c>
      <c r="E193" s="44">
        <v>100</v>
      </c>
      <c r="F193" s="44"/>
      <c r="G193" s="44"/>
      <c r="H193" s="44">
        <v>650</v>
      </c>
      <c r="I193" s="44">
        <f t="shared" si="315"/>
        <v>65000</v>
      </c>
      <c r="J193" s="44">
        <f t="shared" si="309"/>
        <v>52000</v>
      </c>
      <c r="K193" s="44">
        <f t="shared" si="310"/>
        <v>6500</v>
      </c>
      <c r="L193" s="44">
        <f t="shared" si="311"/>
        <v>6500</v>
      </c>
      <c r="M193" s="44">
        <f t="shared" si="316"/>
        <v>32500</v>
      </c>
      <c r="N193" s="44">
        <v>26000</v>
      </c>
      <c r="O193" s="44">
        <v>3250</v>
      </c>
      <c r="P193" s="44">
        <v>3250</v>
      </c>
      <c r="Q193" s="44">
        <f t="shared" si="317"/>
        <v>32500</v>
      </c>
      <c r="R193" s="50">
        <f aca="true" t="shared" si="322" ref="R193:T193">J193-N193</f>
        <v>26000</v>
      </c>
      <c r="S193" s="50">
        <f t="shared" si="322"/>
        <v>3250</v>
      </c>
      <c r="T193" s="50">
        <f t="shared" si="322"/>
        <v>3250</v>
      </c>
    </row>
    <row r="194" spans="2:20" s="3" customFormat="1" ht="19.5" customHeight="1">
      <c r="B194" s="82" t="s">
        <v>205</v>
      </c>
      <c r="C194" s="83">
        <v>20</v>
      </c>
      <c r="D194" s="44">
        <v>100</v>
      </c>
      <c r="E194" s="44">
        <v>100</v>
      </c>
      <c r="F194" s="44"/>
      <c r="G194" s="44"/>
      <c r="H194" s="44">
        <v>650</v>
      </c>
      <c r="I194" s="44">
        <f t="shared" si="315"/>
        <v>65000</v>
      </c>
      <c r="J194" s="44">
        <f t="shared" si="309"/>
        <v>52000</v>
      </c>
      <c r="K194" s="44">
        <f t="shared" si="310"/>
        <v>6500</v>
      </c>
      <c r="L194" s="44">
        <f t="shared" si="311"/>
        <v>6500</v>
      </c>
      <c r="M194" s="44">
        <f t="shared" si="316"/>
        <v>32500</v>
      </c>
      <c r="N194" s="44">
        <v>26000</v>
      </c>
      <c r="O194" s="44">
        <v>3250</v>
      </c>
      <c r="P194" s="44">
        <v>3250</v>
      </c>
      <c r="Q194" s="44">
        <f t="shared" si="317"/>
        <v>32500</v>
      </c>
      <c r="R194" s="50">
        <f aca="true" t="shared" si="323" ref="R194:T194">J194-N194</f>
        <v>26000</v>
      </c>
      <c r="S194" s="50">
        <f t="shared" si="323"/>
        <v>3250</v>
      </c>
      <c r="T194" s="50">
        <f t="shared" si="323"/>
        <v>3250</v>
      </c>
    </row>
    <row r="195" spans="2:20" s="3" customFormat="1" ht="19.5" customHeight="1">
      <c r="B195" s="82" t="s">
        <v>206</v>
      </c>
      <c r="C195" s="83">
        <v>25</v>
      </c>
      <c r="D195" s="44">
        <v>100</v>
      </c>
      <c r="E195" s="44">
        <v>100</v>
      </c>
      <c r="F195" s="44"/>
      <c r="G195" s="44"/>
      <c r="H195" s="44">
        <v>650</v>
      </c>
      <c r="I195" s="44">
        <f t="shared" si="315"/>
        <v>65000</v>
      </c>
      <c r="J195" s="44">
        <f t="shared" si="309"/>
        <v>52000</v>
      </c>
      <c r="K195" s="44">
        <f t="shared" si="310"/>
        <v>6500</v>
      </c>
      <c r="L195" s="44">
        <f t="shared" si="311"/>
        <v>6500</v>
      </c>
      <c r="M195" s="44">
        <f t="shared" si="316"/>
        <v>32500</v>
      </c>
      <c r="N195" s="44">
        <v>26000</v>
      </c>
      <c r="O195" s="44">
        <v>3250</v>
      </c>
      <c r="P195" s="44">
        <v>3250</v>
      </c>
      <c r="Q195" s="44">
        <f t="shared" si="317"/>
        <v>32500</v>
      </c>
      <c r="R195" s="50">
        <f aca="true" t="shared" si="324" ref="R195:T195">J195-N195</f>
        <v>26000</v>
      </c>
      <c r="S195" s="50">
        <f t="shared" si="324"/>
        <v>3250</v>
      </c>
      <c r="T195" s="50">
        <f t="shared" si="324"/>
        <v>3250</v>
      </c>
    </row>
    <row r="196" spans="2:20" s="3" customFormat="1" ht="19.5" customHeight="1">
      <c r="B196" s="82" t="s">
        <v>207</v>
      </c>
      <c r="C196" s="83">
        <v>43</v>
      </c>
      <c r="D196" s="44">
        <v>100</v>
      </c>
      <c r="E196" s="44">
        <v>100</v>
      </c>
      <c r="F196" s="44"/>
      <c r="G196" s="44"/>
      <c r="H196" s="44">
        <v>650</v>
      </c>
      <c r="I196" s="44">
        <f t="shared" si="315"/>
        <v>65000</v>
      </c>
      <c r="J196" s="44">
        <f t="shared" si="309"/>
        <v>52000</v>
      </c>
      <c r="K196" s="44">
        <f t="shared" si="310"/>
        <v>6500</v>
      </c>
      <c r="L196" s="44">
        <f t="shared" si="311"/>
        <v>6500</v>
      </c>
      <c r="M196" s="44">
        <f t="shared" si="316"/>
        <v>32500</v>
      </c>
      <c r="N196" s="44">
        <v>26000</v>
      </c>
      <c r="O196" s="44">
        <v>3250</v>
      </c>
      <c r="P196" s="44">
        <v>3250</v>
      </c>
      <c r="Q196" s="44">
        <f t="shared" si="317"/>
        <v>32500</v>
      </c>
      <c r="R196" s="50">
        <f aca="true" t="shared" si="325" ref="R196:T196">J196-N196</f>
        <v>26000</v>
      </c>
      <c r="S196" s="50">
        <f t="shared" si="325"/>
        <v>3250</v>
      </c>
      <c r="T196" s="50">
        <f t="shared" si="325"/>
        <v>3250</v>
      </c>
    </row>
    <row r="197" spans="2:20" s="3" customFormat="1" ht="19.5" customHeight="1">
      <c r="B197" s="82" t="s">
        <v>208</v>
      </c>
      <c r="C197" s="83">
        <v>15</v>
      </c>
      <c r="D197" s="44">
        <v>100</v>
      </c>
      <c r="E197" s="44">
        <v>100</v>
      </c>
      <c r="F197" s="44"/>
      <c r="G197" s="44"/>
      <c r="H197" s="44">
        <v>650</v>
      </c>
      <c r="I197" s="44">
        <f t="shared" si="315"/>
        <v>65000</v>
      </c>
      <c r="J197" s="44">
        <f t="shared" si="309"/>
        <v>52000</v>
      </c>
      <c r="K197" s="44">
        <f t="shared" si="310"/>
        <v>6500</v>
      </c>
      <c r="L197" s="44">
        <f t="shared" si="311"/>
        <v>6500</v>
      </c>
      <c r="M197" s="44">
        <f t="shared" si="316"/>
        <v>32500</v>
      </c>
      <c r="N197" s="44">
        <v>26000</v>
      </c>
      <c r="O197" s="44">
        <v>3250</v>
      </c>
      <c r="P197" s="44">
        <v>3250</v>
      </c>
      <c r="Q197" s="44">
        <f t="shared" si="317"/>
        <v>32500</v>
      </c>
      <c r="R197" s="50">
        <f aca="true" t="shared" si="326" ref="R197:T197">J197-N197</f>
        <v>26000</v>
      </c>
      <c r="S197" s="50">
        <f t="shared" si="326"/>
        <v>3250</v>
      </c>
      <c r="T197" s="50">
        <f t="shared" si="326"/>
        <v>3250</v>
      </c>
    </row>
    <row r="198" spans="2:20" s="3" customFormat="1" ht="19.5" customHeight="1">
      <c r="B198" s="82" t="s">
        <v>209</v>
      </c>
      <c r="C198" s="83">
        <v>26</v>
      </c>
      <c r="D198" s="44">
        <v>100</v>
      </c>
      <c r="E198" s="44">
        <v>100</v>
      </c>
      <c r="F198" s="44"/>
      <c r="G198" s="44"/>
      <c r="H198" s="44">
        <v>650</v>
      </c>
      <c r="I198" s="44">
        <f t="shared" si="315"/>
        <v>65000</v>
      </c>
      <c r="J198" s="44">
        <f t="shared" si="309"/>
        <v>52000</v>
      </c>
      <c r="K198" s="44">
        <f t="shared" si="310"/>
        <v>6500</v>
      </c>
      <c r="L198" s="44">
        <f t="shared" si="311"/>
        <v>6500</v>
      </c>
      <c r="M198" s="44">
        <f t="shared" si="316"/>
        <v>32500</v>
      </c>
      <c r="N198" s="44">
        <v>26000</v>
      </c>
      <c r="O198" s="44">
        <v>3250</v>
      </c>
      <c r="P198" s="44">
        <v>3250</v>
      </c>
      <c r="Q198" s="44">
        <f t="shared" si="317"/>
        <v>32500</v>
      </c>
      <c r="R198" s="50">
        <f aca="true" t="shared" si="327" ref="R198:T198">J198-N198</f>
        <v>26000</v>
      </c>
      <c r="S198" s="50">
        <f t="shared" si="327"/>
        <v>3250</v>
      </c>
      <c r="T198" s="50">
        <f t="shared" si="327"/>
        <v>3250</v>
      </c>
    </row>
    <row r="199" spans="2:20" s="3" customFormat="1" ht="19.5" customHeight="1">
      <c r="B199" s="82" t="s">
        <v>210</v>
      </c>
      <c r="C199" s="83">
        <v>5</v>
      </c>
      <c r="D199" s="44">
        <v>100</v>
      </c>
      <c r="E199" s="44">
        <v>100</v>
      </c>
      <c r="F199" s="44"/>
      <c r="G199" s="44"/>
      <c r="H199" s="44">
        <v>650</v>
      </c>
      <c r="I199" s="44">
        <f t="shared" si="315"/>
        <v>65000</v>
      </c>
      <c r="J199" s="44">
        <f t="shared" si="309"/>
        <v>52000</v>
      </c>
      <c r="K199" s="44">
        <f t="shared" si="310"/>
        <v>6500</v>
      </c>
      <c r="L199" s="44">
        <f t="shared" si="311"/>
        <v>6500</v>
      </c>
      <c r="M199" s="44">
        <f t="shared" si="316"/>
        <v>32500</v>
      </c>
      <c r="N199" s="44">
        <v>26000</v>
      </c>
      <c r="O199" s="44">
        <v>3250</v>
      </c>
      <c r="P199" s="44">
        <v>3250</v>
      </c>
      <c r="Q199" s="44">
        <f t="shared" si="317"/>
        <v>32500</v>
      </c>
      <c r="R199" s="50">
        <f aca="true" t="shared" si="328" ref="R199:T199">J199-N199</f>
        <v>26000</v>
      </c>
      <c r="S199" s="50">
        <f t="shared" si="328"/>
        <v>3250</v>
      </c>
      <c r="T199" s="50">
        <f t="shared" si="328"/>
        <v>3250</v>
      </c>
    </row>
    <row r="200" spans="2:20" s="3" customFormat="1" ht="19.5" customHeight="1">
      <c r="B200" s="82" t="s">
        <v>211</v>
      </c>
      <c r="C200" s="83">
        <v>25</v>
      </c>
      <c r="D200" s="44">
        <v>100</v>
      </c>
      <c r="E200" s="44">
        <v>100</v>
      </c>
      <c r="F200" s="44"/>
      <c r="G200" s="44"/>
      <c r="H200" s="44">
        <v>650</v>
      </c>
      <c r="I200" s="44">
        <f t="shared" si="315"/>
        <v>65000</v>
      </c>
      <c r="J200" s="44">
        <f t="shared" si="309"/>
        <v>52000</v>
      </c>
      <c r="K200" s="44">
        <f t="shared" si="310"/>
        <v>6500</v>
      </c>
      <c r="L200" s="44">
        <f t="shared" si="311"/>
        <v>6500</v>
      </c>
      <c r="M200" s="44">
        <f t="shared" si="316"/>
        <v>32500</v>
      </c>
      <c r="N200" s="44">
        <v>26000</v>
      </c>
      <c r="O200" s="44">
        <v>3250</v>
      </c>
      <c r="P200" s="44">
        <v>3250</v>
      </c>
      <c r="Q200" s="44">
        <f t="shared" si="317"/>
        <v>32500</v>
      </c>
      <c r="R200" s="50">
        <f aca="true" t="shared" si="329" ref="R200:T200">J200-N200</f>
        <v>26000</v>
      </c>
      <c r="S200" s="50">
        <f t="shared" si="329"/>
        <v>3250</v>
      </c>
      <c r="T200" s="50">
        <f t="shared" si="329"/>
        <v>3250</v>
      </c>
    </row>
    <row r="201" spans="2:20" s="3" customFormat="1" ht="19.5" customHeight="1">
      <c r="B201" s="82" t="s">
        <v>212</v>
      </c>
      <c r="C201" s="83">
        <v>8</v>
      </c>
      <c r="D201" s="44">
        <v>100</v>
      </c>
      <c r="E201" s="44">
        <v>100</v>
      </c>
      <c r="F201" s="44"/>
      <c r="G201" s="44"/>
      <c r="H201" s="44">
        <v>650</v>
      </c>
      <c r="I201" s="44">
        <f t="shared" si="315"/>
        <v>65000</v>
      </c>
      <c r="J201" s="44">
        <f t="shared" si="309"/>
        <v>52000</v>
      </c>
      <c r="K201" s="44">
        <f t="shared" si="310"/>
        <v>6500</v>
      </c>
      <c r="L201" s="44">
        <f t="shared" si="311"/>
        <v>6500</v>
      </c>
      <c r="M201" s="44">
        <f t="shared" si="316"/>
        <v>32500</v>
      </c>
      <c r="N201" s="44">
        <v>26000</v>
      </c>
      <c r="O201" s="44">
        <v>3250</v>
      </c>
      <c r="P201" s="44">
        <v>3250</v>
      </c>
      <c r="Q201" s="44">
        <f t="shared" si="317"/>
        <v>32500</v>
      </c>
      <c r="R201" s="50">
        <f aca="true" t="shared" si="330" ref="R201:T201">J201-N201</f>
        <v>26000</v>
      </c>
      <c r="S201" s="50">
        <f t="shared" si="330"/>
        <v>3250</v>
      </c>
      <c r="T201" s="50">
        <f t="shared" si="330"/>
        <v>3250</v>
      </c>
    </row>
    <row r="202" spans="2:20" s="29" customFormat="1" ht="19.5" customHeight="1">
      <c r="B202" s="40" t="s">
        <v>213</v>
      </c>
      <c r="C202" s="41">
        <f aca="true" t="shared" si="331" ref="C202:G202">SUM(C203:C242)</f>
        <v>11001</v>
      </c>
      <c r="D202" s="41">
        <f t="shared" si="331"/>
        <v>11010</v>
      </c>
      <c r="E202" s="41">
        <f t="shared" si="331"/>
        <v>10928</v>
      </c>
      <c r="F202" s="41">
        <f t="shared" si="331"/>
        <v>59</v>
      </c>
      <c r="G202" s="41">
        <f t="shared" si="331"/>
        <v>23</v>
      </c>
      <c r="H202" s="41"/>
      <c r="I202" s="41">
        <f aca="true" t="shared" si="332" ref="I202:T202">SUM(I203:I242)</f>
        <v>9212702.299999999</v>
      </c>
      <c r="J202" s="41">
        <f t="shared" si="332"/>
        <v>7428126.149999999</v>
      </c>
      <c r="K202" s="41">
        <f t="shared" si="332"/>
        <v>902906.7300000001</v>
      </c>
      <c r="L202" s="41">
        <f t="shared" si="332"/>
        <v>881669.42</v>
      </c>
      <c r="M202" s="41">
        <f t="shared" si="332"/>
        <v>4756012.77</v>
      </c>
      <c r="N202" s="41">
        <f t="shared" si="332"/>
        <v>3899766.15</v>
      </c>
      <c r="O202" s="41">
        <f t="shared" si="332"/>
        <v>428580.96</v>
      </c>
      <c r="P202" s="41">
        <f t="shared" si="332"/>
        <v>427665.66000000003</v>
      </c>
      <c r="Q202" s="41">
        <f t="shared" si="332"/>
        <v>4456689.53</v>
      </c>
      <c r="R202" s="41">
        <f t="shared" si="332"/>
        <v>3528360</v>
      </c>
      <c r="S202" s="41">
        <f t="shared" si="332"/>
        <v>474325.77</v>
      </c>
      <c r="T202" s="41">
        <f t="shared" si="332"/>
        <v>454003.76</v>
      </c>
    </row>
    <row r="203" spans="2:20" s="3" customFormat="1" ht="19.5" customHeight="1">
      <c r="B203" s="84" t="s">
        <v>214</v>
      </c>
      <c r="C203" s="85">
        <v>1515</v>
      </c>
      <c r="D203" s="85">
        <v>1510</v>
      </c>
      <c r="E203" s="85">
        <v>1510</v>
      </c>
      <c r="F203" s="44"/>
      <c r="G203" s="44"/>
      <c r="H203" s="44">
        <v>850</v>
      </c>
      <c r="I203" s="44">
        <f aca="true" t="shared" si="333" ref="I203:I242">SUM(J203:L203)</f>
        <v>1042100</v>
      </c>
      <c r="J203" s="44">
        <f>640560+193120</f>
        <v>833680</v>
      </c>
      <c r="K203" s="44">
        <f>80070+24140</f>
        <v>104210</v>
      </c>
      <c r="L203" s="44">
        <f>80070+24140</f>
        <v>104210</v>
      </c>
      <c r="M203" s="44">
        <f aca="true" t="shared" si="334" ref="M203:M242">SUM(N203:P203)</f>
        <v>400350</v>
      </c>
      <c r="N203" s="44">
        <v>320280</v>
      </c>
      <c r="O203" s="44">
        <v>40035</v>
      </c>
      <c r="P203" s="44">
        <v>40035</v>
      </c>
      <c r="Q203" s="44">
        <f aca="true" t="shared" si="335" ref="Q203:Q242">SUM(R203:T203)</f>
        <v>641750</v>
      </c>
      <c r="R203" s="50">
        <f aca="true" t="shared" si="336" ref="R203:T203">J203-N203</f>
        <v>513400</v>
      </c>
      <c r="S203" s="50">
        <f t="shared" si="336"/>
        <v>64175</v>
      </c>
      <c r="T203" s="50">
        <f t="shared" si="336"/>
        <v>64175</v>
      </c>
    </row>
    <row r="204" spans="2:231" s="3" customFormat="1" ht="19.5" customHeight="1">
      <c r="B204" s="84" t="s">
        <v>215</v>
      </c>
      <c r="C204" s="85"/>
      <c r="D204" s="85">
        <v>3</v>
      </c>
      <c r="E204" s="59"/>
      <c r="F204" s="44">
        <v>3</v>
      </c>
      <c r="G204" s="44"/>
      <c r="H204" s="44">
        <v>6000</v>
      </c>
      <c r="I204" s="44">
        <f t="shared" si="333"/>
        <v>18000</v>
      </c>
      <c r="J204" s="44">
        <f>ROUND(F204*H204*0.8,2)</f>
        <v>14400</v>
      </c>
      <c r="K204" s="44">
        <f>ROUND(F204*H204*0.1,2)</f>
        <v>1800</v>
      </c>
      <c r="L204" s="44">
        <f>ROUND(F204*H204*0.1,2)</f>
        <v>1800</v>
      </c>
      <c r="M204" s="44">
        <f t="shared" si="334"/>
        <v>9000</v>
      </c>
      <c r="N204" s="44">
        <v>7200</v>
      </c>
      <c r="O204" s="44">
        <v>900</v>
      </c>
      <c r="P204" s="44">
        <v>900</v>
      </c>
      <c r="Q204" s="44">
        <f t="shared" si="335"/>
        <v>9000</v>
      </c>
      <c r="R204" s="50">
        <f aca="true" t="shared" si="337" ref="R204:T204">J204-N204</f>
        <v>7200</v>
      </c>
      <c r="S204" s="50">
        <f t="shared" si="337"/>
        <v>900</v>
      </c>
      <c r="T204" s="50">
        <f t="shared" si="337"/>
        <v>900</v>
      </c>
      <c r="HT204" s="31"/>
      <c r="HU204" s="31"/>
      <c r="HV204" s="31"/>
      <c r="HW204" s="31"/>
    </row>
    <row r="205" spans="2:231" s="3" customFormat="1" ht="19.5" customHeight="1">
      <c r="B205" s="84" t="s">
        <v>216</v>
      </c>
      <c r="C205" s="85"/>
      <c r="D205" s="85">
        <v>2</v>
      </c>
      <c r="E205" s="59"/>
      <c r="F205" s="44"/>
      <c r="G205" s="44">
        <v>2</v>
      </c>
      <c r="H205" s="44">
        <v>6000</v>
      </c>
      <c r="I205" s="44">
        <f t="shared" si="333"/>
        <v>12000</v>
      </c>
      <c r="J205" s="44">
        <f>ROUND(G205*H205*0.8,2)</f>
        <v>9600</v>
      </c>
      <c r="K205" s="44">
        <f>ROUND(G205*H205*0.1,2)</f>
        <v>1200</v>
      </c>
      <c r="L205" s="44">
        <f>ROUND(G205*H205*0.1,2)</f>
        <v>1200</v>
      </c>
      <c r="M205" s="44">
        <f t="shared" si="334"/>
        <v>6000</v>
      </c>
      <c r="N205" s="44">
        <v>4800</v>
      </c>
      <c r="O205" s="44">
        <v>600</v>
      </c>
      <c r="P205" s="44">
        <v>600</v>
      </c>
      <c r="Q205" s="44">
        <f t="shared" si="335"/>
        <v>6000</v>
      </c>
      <c r="R205" s="50">
        <f aca="true" t="shared" si="338" ref="R205:T205">J205-N205</f>
        <v>4800</v>
      </c>
      <c r="S205" s="50">
        <f t="shared" si="338"/>
        <v>600</v>
      </c>
      <c r="T205" s="50">
        <f t="shared" si="338"/>
        <v>600</v>
      </c>
      <c r="HT205" s="31"/>
      <c r="HU205" s="31"/>
      <c r="HV205" s="31"/>
      <c r="HW205" s="31"/>
    </row>
    <row r="206" spans="2:20" s="3" customFormat="1" ht="19.5" customHeight="1">
      <c r="B206" s="84" t="s">
        <v>217</v>
      </c>
      <c r="C206" s="85">
        <v>327</v>
      </c>
      <c r="D206" s="85">
        <v>327</v>
      </c>
      <c r="E206" s="85">
        <v>327</v>
      </c>
      <c r="F206" s="44"/>
      <c r="G206" s="44"/>
      <c r="H206" s="44">
        <v>850</v>
      </c>
      <c r="I206" s="44">
        <f t="shared" si="333"/>
        <v>362550</v>
      </c>
      <c r="J206" s="44">
        <f>353600-63560</f>
        <v>290040</v>
      </c>
      <c r="K206" s="44">
        <f>44200-7945</f>
        <v>36255</v>
      </c>
      <c r="L206" s="44">
        <f>44200-7945</f>
        <v>36255</v>
      </c>
      <c r="M206" s="44">
        <f t="shared" si="334"/>
        <v>221000</v>
      </c>
      <c r="N206" s="44">
        <v>176800</v>
      </c>
      <c r="O206" s="44">
        <v>22100</v>
      </c>
      <c r="P206" s="44">
        <v>22100</v>
      </c>
      <c r="Q206" s="44">
        <f t="shared" si="335"/>
        <v>141550</v>
      </c>
      <c r="R206" s="50">
        <f aca="true" t="shared" si="339" ref="R206:T206">J206-N206</f>
        <v>113240</v>
      </c>
      <c r="S206" s="50">
        <f t="shared" si="339"/>
        <v>14155</v>
      </c>
      <c r="T206" s="50">
        <f t="shared" si="339"/>
        <v>14155</v>
      </c>
    </row>
    <row r="207" spans="2:231" s="3" customFormat="1" ht="19.5" customHeight="1">
      <c r="B207" s="84" t="s">
        <v>218</v>
      </c>
      <c r="C207" s="85"/>
      <c r="D207" s="85"/>
      <c r="E207" s="59"/>
      <c r="F207" s="44"/>
      <c r="G207" s="44"/>
      <c r="H207" s="44">
        <v>6000</v>
      </c>
      <c r="I207" s="44">
        <f t="shared" si="333"/>
        <v>0</v>
      </c>
      <c r="J207" s="44">
        <v>0</v>
      </c>
      <c r="K207" s="44">
        <v>0</v>
      </c>
      <c r="L207" s="44">
        <v>0</v>
      </c>
      <c r="M207" s="44">
        <f t="shared" si="334"/>
        <v>0</v>
      </c>
      <c r="N207" s="44">
        <v>0</v>
      </c>
      <c r="O207" s="44">
        <v>0</v>
      </c>
      <c r="P207" s="44">
        <v>0</v>
      </c>
      <c r="Q207" s="44">
        <f t="shared" si="335"/>
        <v>0</v>
      </c>
      <c r="R207" s="50">
        <f aca="true" t="shared" si="340" ref="R207:T207">J207-N207</f>
        <v>0</v>
      </c>
      <c r="S207" s="50">
        <f t="shared" si="340"/>
        <v>0</v>
      </c>
      <c r="T207" s="50">
        <f t="shared" si="340"/>
        <v>0</v>
      </c>
      <c r="HT207" s="31"/>
      <c r="HU207" s="31"/>
      <c r="HV207" s="31"/>
      <c r="HW207" s="31"/>
    </row>
    <row r="208" spans="2:20" s="3" customFormat="1" ht="19.5" customHeight="1">
      <c r="B208" s="84" t="s">
        <v>219</v>
      </c>
      <c r="C208" s="85">
        <v>1143</v>
      </c>
      <c r="D208" s="85">
        <v>1126</v>
      </c>
      <c r="E208" s="85">
        <v>1126</v>
      </c>
      <c r="F208" s="44"/>
      <c r="G208" s="44"/>
      <c r="H208" s="44">
        <v>850</v>
      </c>
      <c r="I208" s="44">
        <f t="shared" si="333"/>
        <v>957100</v>
      </c>
      <c r="J208" s="44">
        <v>765680</v>
      </c>
      <c r="K208" s="44">
        <v>95710</v>
      </c>
      <c r="L208" s="44">
        <v>95710</v>
      </c>
      <c r="M208" s="44">
        <f t="shared" si="334"/>
        <v>478550</v>
      </c>
      <c r="N208" s="44">
        <v>382840</v>
      </c>
      <c r="O208" s="44">
        <v>47855</v>
      </c>
      <c r="P208" s="44">
        <v>47855</v>
      </c>
      <c r="Q208" s="44">
        <f t="shared" si="335"/>
        <v>478550</v>
      </c>
      <c r="R208" s="50">
        <f aca="true" t="shared" si="341" ref="R208:T208">J208-N208</f>
        <v>382840</v>
      </c>
      <c r="S208" s="50">
        <f t="shared" si="341"/>
        <v>47855</v>
      </c>
      <c r="T208" s="50">
        <f t="shared" si="341"/>
        <v>47855</v>
      </c>
    </row>
    <row r="209" spans="2:231" s="3" customFormat="1" ht="19.5" customHeight="1">
      <c r="B209" s="84" t="s">
        <v>220</v>
      </c>
      <c r="C209" s="85"/>
      <c r="D209" s="85">
        <v>10</v>
      </c>
      <c r="E209" s="85"/>
      <c r="F209" s="44">
        <v>10</v>
      </c>
      <c r="G209" s="44"/>
      <c r="H209" s="44">
        <v>6000</v>
      </c>
      <c r="I209" s="44">
        <f t="shared" si="333"/>
        <v>60000</v>
      </c>
      <c r="J209" s="44">
        <v>48000</v>
      </c>
      <c r="K209" s="44">
        <v>6000</v>
      </c>
      <c r="L209" s="44">
        <v>6000</v>
      </c>
      <c r="M209" s="44">
        <f t="shared" si="334"/>
        <v>30000</v>
      </c>
      <c r="N209" s="44">
        <v>24000</v>
      </c>
      <c r="O209" s="44">
        <v>3000</v>
      </c>
      <c r="P209" s="44">
        <v>3000</v>
      </c>
      <c r="Q209" s="44">
        <f t="shared" si="335"/>
        <v>30000</v>
      </c>
      <c r="R209" s="50">
        <f aca="true" t="shared" si="342" ref="R209:T209">J209-N209</f>
        <v>24000</v>
      </c>
      <c r="S209" s="50">
        <f t="shared" si="342"/>
        <v>3000</v>
      </c>
      <c r="T209" s="50">
        <f t="shared" si="342"/>
        <v>3000</v>
      </c>
      <c r="HT209" s="89"/>
      <c r="HU209" s="89"/>
      <c r="HV209" s="89"/>
      <c r="HW209" s="89"/>
    </row>
    <row r="210" spans="2:231" s="3" customFormat="1" ht="19.5" customHeight="1">
      <c r="B210" s="84" t="s">
        <v>221</v>
      </c>
      <c r="C210" s="85"/>
      <c r="D210" s="85">
        <v>7</v>
      </c>
      <c r="E210" s="85"/>
      <c r="F210" s="44"/>
      <c r="G210" s="44">
        <v>7</v>
      </c>
      <c r="H210" s="44">
        <v>6000</v>
      </c>
      <c r="I210" s="44">
        <f t="shared" si="333"/>
        <v>42000</v>
      </c>
      <c r="J210" s="44">
        <v>33600</v>
      </c>
      <c r="K210" s="44">
        <v>4200</v>
      </c>
      <c r="L210" s="44">
        <v>4200</v>
      </c>
      <c r="M210" s="44">
        <f t="shared" si="334"/>
        <v>21000</v>
      </c>
      <c r="N210" s="44">
        <v>16800</v>
      </c>
      <c r="O210" s="44">
        <v>2100</v>
      </c>
      <c r="P210" s="44">
        <v>2100</v>
      </c>
      <c r="Q210" s="44">
        <f t="shared" si="335"/>
        <v>21000</v>
      </c>
      <c r="R210" s="50">
        <f aca="true" t="shared" si="343" ref="R210:T210">J210-N210</f>
        <v>16800</v>
      </c>
      <c r="S210" s="50">
        <f t="shared" si="343"/>
        <v>2100</v>
      </c>
      <c r="T210" s="50">
        <f t="shared" si="343"/>
        <v>2100</v>
      </c>
      <c r="HT210" s="31"/>
      <c r="HU210" s="31"/>
      <c r="HV210" s="31"/>
      <c r="HW210" s="31"/>
    </row>
    <row r="211" spans="2:20" s="3" customFormat="1" ht="19.5" customHeight="1">
      <c r="B211" s="84" t="s">
        <v>222</v>
      </c>
      <c r="C211" s="85">
        <v>414</v>
      </c>
      <c r="D211" s="85">
        <v>410</v>
      </c>
      <c r="E211" s="85">
        <v>410</v>
      </c>
      <c r="F211" s="44"/>
      <c r="G211" s="44"/>
      <c r="H211" s="44">
        <v>850</v>
      </c>
      <c r="I211" s="44">
        <f t="shared" si="333"/>
        <v>437225</v>
      </c>
      <c r="J211" s="44">
        <f>439960-90180</f>
        <v>349780</v>
      </c>
      <c r="K211" s="44">
        <f>54995-11272.5+2178</f>
        <v>45900.5</v>
      </c>
      <c r="L211" s="44">
        <f>54995-11272.5-2178</f>
        <v>41544.5</v>
      </c>
      <c r="M211" s="44">
        <f t="shared" si="334"/>
        <v>274975</v>
      </c>
      <c r="N211" s="44">
        <v>219980</v>
      </c>
      <c r="O211" s="44">
        <v>27497.5</v>
      </c>
      <c r="P211" s="44">
        <v>27497.5</v>
      </c>
      <c r="Q211" s="44">
        <f t="shared" si="335"/>
        <v>162250</v>
      </c>
      <c r="R211" s="50">
        <f aca="true" t="shared" si="344" ref="R211:T211">J211-N211</f>
        <v>129800</v>
      </c>
      <c r="S211" s="50">
        <f t="shared" si="344"/>
        <v>18403</v>
      </c>
      <c r="T211" s="50">
        <f t="shared" si="344"/>
        <v>14047</v>
      </c>
    </row>
    <row r="212" spans="2:231" s="3" customFormat="1" ht="19.5" customHeight="1">
      <c r="B212" s="84" t="s">
        <v>223</v>
      </c>
      <c r="C212" s="85"/>
      <c r="D212" s="85">
        <v>5</v>
      </c>
      <c r="E212" s="85"/>
      <c r="F212" s="44">
        <v>5</v>
      </c>
      <c r="G212" s="44"/>
      <c r="H212" s="44">
        <v>6000</v>
      </c>
      <c r="I212" s="44">
        <f t="shared" si="333"/>
        <v>30000</v>
      </c>
      <c r="J212" s="44">
        <v>24000</v>
      </c>
      <c r="K212" s="44">
        <v>3000</v>
      </c>
      <c r="L212" s="44">
        <v>3000</v>
      </c>
      <c r="M212" s="44">
        <f t="shared" si="334"/>
        <v>15000</v>
      </c>
      <c r="N212" s="44">
        <v>12000</v>
      </c>
      <c r="O212" s="44">
        <v>1500</v>
      </c>
      <c r="P212" s="44">
        <v>1500</v>
      </c>
      <c r="Q212" s="44">
        <f t="shared" si="335"/>
        <v>15000</v>
      </c>
      <c r="R212" s="50">
        <f aca="true" t="shared" si="345" ref="R212:T212">J212-N212</f>
        <v>12000</v>
      </c>
      <c r="S212" s="50">
        <f t="shared" si="345"/>
        <v>1500</v>
      </c>
      <c r="T212" s="50">
        <f t="shared" si="345"/>
        <v>1500</v>
      </c>
      <c r="HT212" s="31"/>
      <c r="HU212" s="31"/>
      <c r="HV212" s="31"/>
      <c r="HW212" s="31"/>
    </row>
    <row r="213" spans="2:231" s="3" customFormat="1" ht="19.5" customHeight="1">
      <c r="B213" s="84" t="s">
        <v>224</v>
      </c>
      <c r="C213" s="85"/>
      <c r="D213" s="85">
        <v>1</v>
      </c>
      <c r="E213" s="85"/>
      <c r="F213" s="44"/>
      <c r="G213" s="44">
        <v>1</v>
      </c>
      <c r="H213" s="44">
        <v>6000</v>
      </c>
      <c r="I213" s="44">
        <f t="shared" si="333"/>
        <v>18000</v>
      </c>
      <c r="J213" s="44">
        <v>14400</v>
      </c>
      <c r="K213" s="44">
        <v>1800</v>
      </c>
      <c r="L213" s="44">
        <v>1800</v>
      </c>
      <c r="M213" s="44">
        <f t="shared" si="334"/>
        <v>9000</v>
      </c>
      <c r="N213" s="44">
        <v>7200</v>
      </c>
      <c r="O213" s="44">
        <v>900</v>
      </c>
      <c r="P213" s="44">
        <v>900</v>
      </c>
      <c r="Q213" s="44">
        <f t="shared" si="335"/>
        <v>9000</v>
      </c>
      <c r="R213" s="50">
        <f aca="true" t="shared" si="346" ref="R213:T213">J213-N213</f>
        <v>7200</v>
      </c>
      <c r="S213" s="50">
        <f t="shared" si="346"/>
        <v>900</v>
      </c>
      <c r="T213" s="50">
        <f t="shared" si="346"/>
        <v>900</v>
      </c>
      <c r="HT213" s="31"/>
      <c r="HU213" s="31"/>
      <c r="HV213" s="31"/>
      <c r="HW213" s="31"/>
    </row>
    <row r="214" spans="2:20" s="3" customFormat="1" ht="19.5" customHeight="1">
      <c r="B214" s="86" t="s">
        <v>225</v>
      </c>
      <c r="C214" s="85">
        <v>721</v>
      </c>
      <c r="D214" s="85">
        <v>719</v>
      </c>
      <c r="E214" s="85">
        <v>719</v>
      </c>
      <c r="F214" s="44"/>
      <c r="G214" s="44"/>
      <c r="H214" s="44">
        <v>850</v>
      </c>
      <c r="I214" s="44">
        <f t="shared" si="333"/>
        <v>611150</v>
      </c>
      <c r="J214" s="44">
        <f>ROUND(E214*H214*0.8,2)</f>
        <v>488920</v>
      </c>
      <c r="K214" s="44">
        <f>ROUND(E214*H214*0.1,2)</f>
        <v>61115</v>
      </c>
      <c r="L214" s="44">
        <f>ROUND(E214*H214*0.1,2)</f>
        <v>61115</v>
      </c>
      <c r="M214" s="44">
        <f t="shared" si="334"/>
        <v>305575</v>
      </c>
      <c r="N214" s="44">
        <v>244460</v>
      </c>
      <c r="O214" s="44">
        <v>30557.5</v>
      </c>
      <c r="P214" s="44">
        <v>30557.5</v>
      </c>
      <c r="Q214" s="44">
        <f t="shared" si="335"/>
        <v>305575</v>
      </c>
      <c r="R214" s="50">
        <f aca="true" t="shared" si="347" ref="R214:T214">J214-N214</f>
        <v>244460</v>
      </c>
      <c r="S214" s="50">
        <f t="shared" si="347"/>
        <v>30557.5</v>
      </c>
      <c r="T214" s="50">
        <f t="shared" si="347"/>
        <v>30557.5</v>
      </c>
    </row>
    <row r="215" spans="2:231" s="3" customFormat="1" ht="19.5" customHeight="1">
      <c r="B215" s="86" t="s">
        <v>226</v>
      </c>
      <c r="C215" s="85"/>
      <c r="D215" s="85">
        <v>2</v>
      </c>
      <c r="E215" s="59"/>
      <c r="F215" s="44">
        <v>2</v>
      </c>
      <c r="G215" s="44"/>
      <c r="H215" s="44">
        <v>6000</v>
      </c>
      <c r="I215" s="44">
        <f t="shared" si="333"/>
        <v>12000</v>
      </c>
      <c r="J215" s="44">
        <f>ROUND(F215*H215*0.8,2)</f>
        <v>9600</v>
      </c>
      <c r="K215" s="44">
        <f>ROUND(F215*H215*0.1,2)</f>
        <v>1200</v>
      </c>
      <c r="L215" s="44">
        <f>ROUND(F215*H215*0.1,2)</f>
        <v>1200</v>
      </c>
      <c r="M215" s="44">
        <f t="shared" si="334"/>
        <v>6000</v>
      </c>
      <c r="N215" s="44">
        <v>4800</v>
      </c>
      <c r="O215" s="44">
        <v>600</v>
      </c>
      <c r="P215" s="44">
        <v>600</v>
      </c>
      <c r="Q215" s="44">
        <f t="shared" si="335"/>
        <v>6000</v>
      </c>
      <c r="R215" s="50">
        <f aca="true" t="shared" si="348" ref="R215:T215">J215-N215</f>
        <v>4800</v>
      </c>
      <c r="S215" s="50">
        <f t="shared" si="348"/>
        <v>600</v>
      </c>
      <c r="T215" s="50">
        <f t="shared" si="348"/>
        <v>600</v>
      </c>
      <c r="HT215" s="31"/>
      <c r="HU215" s="31"/>
      <c r="HV215" s="31"/>
      <c r="HW215" s="31"/>
    </row>
    <row r="216" spans="2:231" s="3" customFormat="1" ht="19.5" customHeight="1">
      <c r="B216" s="86" t="s">
        <v>227</v>
      </c>
      <c r="C216" s="85"/>
      <c r="D216" s="44"/>
      <c r="E216" s="59"/>
      <c r="F216" s="44"/>
      <c r="G216" s="44"/>
      <c r="H216" s="44">
        <v>6000</v>
      </c>
      <c r="I216" s="44">
        <f t="shared" si="333"/>
        <v>0</v>
      </c>
      <c r="J216" s="44">
        <f>ROUND(G216*H216*0.8,2)</f>
        <v>0</v>
      </c>
      <c r="K216" s="44">
        <f>ROUND(G216*H216*0.1,2)</f>
        <v>0</v>
      </c>
      <c r="L216" s="44">
        <f>ROUND(G216*H216*0.1,2)</f>
        <v>0</v>
      </c>
      <c r="M216" s="44">
        <f t="shared" si="334"/>
        <v>0</v>
      </c>
      <c r="N216" s="44">
        <v>0</v>
      </c>
      <c r="O216" s="44">
        <v>0</v>
      </c>
      <c r="P216" s="44">
        <v>0</v>
      </c>
      <c r="Q216" s="44">
        <f t="shared" si="335"/>
        <v>0</v>
      </c>
      <c r="R216" s="50">
        <f aca="true" t="shared" si="349" ref="R216:T216">J216-N216</f>
        <v>0</v>
      </c>
      <c r="S216" s="50">
        <f t="shared" si="349"/>
        <v>0</v>
      </c>
      <c r="T216" s="50">
        <f t="shared" si="349"/>
        <v>0</v>
      </c>
      <c r="HT216" s="31"/>
      <c r="HU216" s="31"/>
      <c r="HV216" s="31"/>
      <c r="HW216" s="31"/>
    </row>
    <row r="217" spans="2:20" s="3" customFormat="1" ht="19.5" customHeight="1">
      <c r="B217" s="84" t="s">
        <v>228</v>
      </c>
      <c r="C217" s="85">
        <v>805</v>
      </c>
      <c r="D217" s="85">
        <v>799</v>
      </c>
      <c r="E217" s="85">
        <v>799</v>
      </c>
      <c r="F217" s="44"/>
      <c r="G217" s="44"/>
      <c r="H217" s="44">
        <v>850</v>
      </c>
      <c r="I217" s="44">
        <f t="shared" si="333"/>
        <v>679150</v>
      </c>
      <c r="J217" s="44">
        <f>ROUND(E217*H217*0.8,2)</f>
        <v>543320</v>
      </c>
      <c r="K217" s="44">
        <f>ROUND(E217*H217*0.1,2)</f>
        <v>67915</v>
      </c>
      <c r="L217" s="44">
        <f>ROUND(E217*H217*0.1,2)</f>
        <v>67915</v>
      </c>
      <c r="M217" s="44">
        <f t="shared" si="334"/>
        <v>339575</v>
      </c>
      <c r="N217" s="44">
        <v>271660</v>
      </c>
      <c r="O217" s="44">
        <v>33957.5</v>
      </c>
      <c r="P217" s="44">
        <v>33957.5</v>
      </c>
      <c r="Q217" s="44">
        <f t="shared" si="335"/>
        <v>339575</v>
      </c>
      <c r="R217" s="50">
        <f aca="true" t="shared" si="350" ref="R217:T217">J217-N217</f>
        <v>271660</v>
      </c>
      <c r="S217" s="50">
        <f t="shared" si="350"/>
        <v>33957.5</v>
      </c>
      <c r="T217" s="50">
        <f t="shared" si="350"/>
        <v>33957.5</v>
      </c>
    </row>
    <row r="218" spans="2:231" s="3" customFormat="1" ht="19.5" customHeight="1">
      <c r="B218" s="84" t="s">
        <v>229</v>
      </c>
      <c r="C218" s="85"/>
      <c r="D218" s="85">
        <v>5</v>
      </c>
      <c r="E218" s="59"/>
      <c r="F218" s="44">
        <v>5</v>
      </c>
      <c r="G218" s="44"/>
      <c r="H218" s="44">
        <v>6000</v>
      </c>
      <c r="I218" s="44">
        <f t="shared" si="333"/>
        <v>30000</v>
      </c>
      <c r="J218" s="44">
        <f>ROUND(F218*H218*0.8,2)</f>
        <v>24000</v>
      </c>
      <c r="K218" s="44">
        <f>ROUND(F218*H218*0.1,2)</f>
        <v>3000</v>
      </c>
      <c r="L218" s="44">
        <f>ROUND(F218*H218*0.1,2)</f>
        <v>3000</v>
      </c>
      <c r="M218" s="44">
        <f t="shared" si="334"/>
        <v>15000</v>
      </c>
      <c r="N218" s="44">
        <v>12000</v>
      </c>
      <c r="O218" s="44">
        <v>1500</v>
      </c>
      <c r="P218" s="44">
        <v>1500</v>
      </c>
      <c r="Q218" s="44">
        <f t="shared" si="335"/>
        <v>15000</v>
      </c>
      <c r="R218" s="50">
        <f aca="true" t="shared" si="351" ref="R218:T218">J218-N218</f>
        <v>12000</v>
      </c>
      <c r="S218" s="50">
        <f t="shared" si="351"/>
        <v>1500</v>
      </c>
      <c r="T218" s="50">
        <f t="shared" si="351"/>
        <v>1500</v>
      </c>
      <c r="HT218" s="31"/>
      <c r="HU218" s="31"/>
      <c r="HV218" s="31"/>
      <c r="HW218" s="31"/>
    </row>
    <row r="219" spans="2:231" s="3" customFormat="1" ht="19.5" customHeight="1">
      <c r="B219" s="84" t="s">
        <v>230</v>
      </c>
      <c r="C219" s="85"/>
      <c r="D219" s="44">
        <v>1</v>
      </c>
      <c r="E219" s="59"/>
      <c r="F219" s="44"/>
      <c r="G219" s="44">
        <v>1</v>
      </c>
      <c r="H219" s="44">
        <v>6000</v>
      </c>
      <c r="I219" s="44">
        <f t="shared" si="333"/>
        <v>6000</v>
      </c>
      <c r="J219" s="44">
        <f>ROUND(G219*H219*0.8,2)</f>
        <v>4800</v>
      </c>
      <c r="K219" s="44">
        <f>ROUND(G219*H219*0.1,2)</f>
        <v>600</v>
      </c>
      <c r="L219" s="44">
        <f>ROUND(G219*H219*0.1,2)</f>
        <v>600</v>
      </c>
      <c r="M219" s="44">
        <f t="shared" si="334"/>
        <v>3000</v>
      </c>
      <c r="N219" s="44">
        <v>2400</v>
      </c>
      <c r="O219" s="44">
        <v>300</v>
      </c>
      <c r="P219" s="44">
        <v>300</v>
      </c>
      <c r="Q219" s="44">
        <f t="shared" si="335"/>
        <v>3000</v>
      </c>
      <c r="R219" s="50">
        <f aca="true" t="shared" si="352" ref="R219:T219">J219-N219</f>
        <v>2400</v>
      </c>
      <c r="S219" s="50">
        <f t="shared" si="352"/>
        <v>300</v>
      </c>
      <c r="T219" s="50">
        <f t="shared" si="352"/>
        <v>300</v>
      </c>
      <c r="HT219" s="31"/>
      <c r="HU219" s="31"/>
      <c r="HV219" s="31"/>
      <c r="HW219" s="31"/>
    </row>
    <row r="220" spans="2:20" s="3" customFormat="1" ht="19.5" customHeight="1">
      <c r="B220" s="84" t="s">
        <v>231</v>
      </c>
      <c r="C220" s="85">
        <v>344</v>
      </c>
      <c r="D220" s="85">
        <v>333</v>
      </c>
      <c r="E220" s="85">
        <v>333</v>
      </c>
      <c r="F220" s="44"/>
      <c r="G220" s="44"/>
      <c r="H220" s="44">
        <v>850</v>
      </c>
      <c r="I220" s="44">
        <f t="shared" si="333"/>
        <v>362700</v>
      </c>
      <c r="J220" s="44">
        <f>371960-81800</f>
        <v>290160</v>
      </c>
      <c r="K220" s="44">
        <f>46495-10225</f>
        <v>36270</v>
      </c>
      <c r="L220" s="44">
        <f>46495-10225</f>
        <v>36270</v>
      </c>
      <c r="M220" s="44">
        <f t="shared" si="334"/>
        <v>232475</v>
      </c>
      <c r="N220" s="44">
        <v>185980</v>
      </c>
      <c r="O220" s="44">
        <v>23247.5</v>
      </c>
      <c r="P220" s="44">
        <v>23247.5</v>
      </c>
      <c r="Q220" s="44">
        <f t="shared" si="335"/>
        <v>130225</v>
      </c>
      <c r="R220" s="50">
        <f aca="true" t="shared" si="353" ref="R220:T220">J220-N220</f>
        <v>104180</v>
      </c>
      <c r="S220" s="50">
        <f t="shared" si="353"/>
        <v>13022.5</v>
      </c>
      <c r="T220" s="50">
        <f t="shared" si="353"/>
        <v>13022.5</v>
      </c>
    </row>
    <row r="221" spans="2:231" s="3" customFormat="1" ht="19.5" customHeight="1">
      <c r="B221" s="84" t="s">
        <v>232</v>
      </c>
      <c r="C221" s="85"/>
      <c r="D221" s="85">
        <v>11</v>
      </c>
      <c r="E221" s="85"/>
      <c r="F221" s="44">
        <v>11</v>
      </c>
      <c r="G221" s="44"/>
      <c r="H221" s="44">
        <v>6000</v>
      </c>
      <c r="I221" s="44">
        <f t="shared" si="333"/>
        <v>66000</v>
      </c>
      <c r="J221" s="44">
        <v>52800</v>
      </c>
      <c r="K221" s="44">
        <v>6600</v>
      </c>
      <c r="L221" s="44">
        <v>6600</v>
      </c>
      <c r="M221" s="44">
        <f t="shared" si="334"/>
        <v>33000</v>
      </c>
      <c r="N221" s="44">
        <v>26400</v>
      </c>
      <c r="O221" s="44">
        <v>3300</v>
      </c>
      <c r="P221" s="44">
        <v>3300</v>
      </c>
      <c r="Q221" s="44">
        <f t="shared" si="335"/>
        <v>33000</v>
      </c>
      <c r="R221" s="50">
        <f aca="true" t="shared" si="354" ref="R221:T221">J221-N221</f>
        <v>26400</v>
      </c>
      <c r="S221" s="50">
        <f t="shared" si="354"/>
        <v>3300</v>
      </c>
      <c r="T221" s="50">
        <f t="shared" si="354"/>
        <v>3300</v>
      </c>
      <c r="HT221" s="31"/>
      <c r="HU221" s="31"/>
      <c r="HV221" s="31"/>
      <c r="HW221" s="31"/>
    </row>
    <row r="222" spans="2:231" s="3" customFormat="1" ht="19.5" customHeight="1">
      <c r="B222" s="84" t="s">
        <v>233</v>
      </c>
      <c r="C222" s="85"/>
      <c r="D222" s="85">
        <v>3</v>
      </c>
      <c r="E222" s="85"/>
      <c r="F222" s="44"/>
      <c r="G222" s="44">
        <v>3</v>
      </c>
      <c r="H222" s="44">
        <v>6000</v>
      </c>
      <c r="I222" s="44">
        <f t="shared" si="333"/>
        <v>18000</v>
      </c>
      <c r="J222" s="44">
        <v>14400</v>
      </c>
      <c r="K222" s="44">
        <v>1800</v>
      </c>
      <c r="L222" s="44">
        <v>1800</v>
      </c>
      <c r="M222" s="44">
        <f t="shared" si="334"/>
        <v>9000</v>
      </c>
      <c r="N222" s="44">
        <v>7200</v>
      </c>
      <c r="O222" s="44">
        <v>900</v>
      </c>
      <c r="P222" s="44">
        <v>900</v>
      </c>
      <c r="Q222" s="44">
        <f t="shared" si="335"/>
        <v>9000</v>
      </c>
      <c r="R222" s="50">
        <f aca="true" t="shared" si="355" ref="R222:T222">J222-N222</f>
        <v>7200</v>
      </c>
      <c r="S222" s="50">
        <f t="shared" si="355"/>
        <v>900</v>
      </c>
      <c r="T222" s="50">
        <f t="shared" si="355"/>
        <v>900</v>
      </c>
      <c r="HT222" s="31"/>
      <c r="HU222" s="31"/>
      <c r="HV222" s="31"/>
      <c r="HW222" s="31"/>
    </row>
    <row r="223" spans="2:231" s="3" customFormat="1" ht="19.5" customHeight="1">
      <c r="B223" s="84" t="s">
        <v>234</v>
      </c>
      <c r="C223" s="85">
        <v>375</v>
      </c>
      <c r="D223" s="85">
        <v>372</v>
      </c>
      <c r="E223" s="85">
        <v>372</v>
      </c>
      <c r="F223" s="44"/>
      <c r="G223" s="44"/>
      <c r="H223" s="44">
        <v>850</v>
      </c>
      <c r="I223" s="44">
        <f t="shared" si="333"/>
        <v>266270.67</v>
      </c>
      <c r="J223" s="44">
        <f>ROUND(E223*H223*0.8,2)-4089.12</f>
        <v>248870.88</v>
      </c>
      <c r="K223" s="44">
        <f>ROUND(E223*H223*0.1,2)-14220.21</f>
        <v>17399.79</v>
      </c>
      <c r="L223" s="44">
        <f>ROUND(E223*H223*0.1,2)-31620</f>
        <v>0</v>
      </c>
      <c r="M223" s="44">
        <f t="shared" si="334"/>
        <v>266270.67</v>
      </c>
      <c r="N223" s="44">
        <v>248870.88</v>
      </c>
      <c r="O223" s="44">
        <v>17399.79</v>
      </c>
      <c r="P223" s="44">
        <v>0</v>
      </c>
      <c r="Q223" s="44">
        <f t="shared" si="335"/>
        <v>0</v>
      </c>
      <c r="R223" s="50">
        <f aca="true" t="shared" si="356" ref="R223:T223">J223-N223</f>
        <v>0</v>
      </c>
      <c r="S223" s="50">
        <f t="shared" si="356"/>
        <v>0</v>
      </c>
      <c r="T223" s="50">
        <f t="shared" si="356"/>
        <v>0</v>
      </c>
      <c r="HW223" s="3">
        <f>SUM(A223:HV223)</f>
        <v>1067051.6800000002</v>
      </c>
    </row>
    <row r="224" spans="2:231" s="3" customFormat="1" ht="19.5" customHeight="1">
      <c r="B224" s="84" t="s">
        <v>235</v>
      </c>
      <c r="C224" s="85"/>
      <c r="D224" s="85">
        <v>2</v>
      </c>
      <c r="E224" s="85"/>
      <c r="F224" s="44">
        <v>2</v>
      </c>
      <c r="G224" s="44"/>
      <c r="H224" s="44">
        <v>6000</v>
      </c>
      <c r="I224" s="44">
        <f t="shared" si="333"/>
        <v>11554.42</v>
      </c>
      <c r="J224" s="88">
        <f>ROUND(F224*H224*0.8,2)</f>
        <v>9600</v>
      </c>
      <c r="K224" s="88">
        <f>ROUND(F224*H224*0.1,2)</f>
        <v>1200</v>
      </c>
      <c r="L224" s="88">
        <f>ROUND(F224*H224*0.1,2)-544.88+99.3</f>
        <v>754.42</v>
      </c>
      <c r="M224" s="44">
        <f t="shared" si="334"/>
        <v>11554.42</v>
      </c>
      <c r="N224" s="44">
        <v>9600</v>
      </c>
      <c r="O224" s="44">
        <v>1200</v>
      </c>
      <c r="P224" s="44">
        <v>754.42</v>
      </c>
      <c r="Q224" s="44">
        <f t="shared" si="335"/>
        <v>0</v>
      </c>
      <c r="R224" s="50">
        <f aca="true" t="shared" si="357" ref="R224:T224">J224-N224</f>
        <v>0</v>
      </c>
      <c r="S224" s="50">
        <f t="shared" si="357"/>
        <v>0</v>
      </c>
      <c r="T224" s="50">
        <f t="shared" si="357"/>
        <v>0</v>
      </c>
      <c r="HT224" s="31"/>
      <c r="HU224" s="31"/>
      <c r="HV224" s="31"/>
      <c r="HW224" s="31"/>
    </row>
    <row r="225" spans="2:231" s="3" customFormat="1" ht="19.5" customHeight="1">
      <c r="B225" s="84" t="s">
        <v>236</v>
      </c>
      <c r="C225" s="85"/>
      <c r="D225" s="85">
        <v>1</v>
      </c>
      <c r="E225" s="85"/>
      <c r="F225" s="44"/>
      <c r="G225" s="44">
        <v>1</v>
      </c>
      <c r="H225" s="44">
        <v>6000</v>
      </c>
      <c r="I225" s="44">
        <f t="shared" si="333"/>
        <v>6000</v>
      </c>
      <c r="J225" s="44">
        <f>ROUND(G225*H225*0.8,2)</f>
        <v>4800</v>
      </c>
      <c r="K225" s="44">
        <f>ROUND(G225*H225*0.1,2)</f>
        <v>600</v>
      </c>
      <c r="L225" s="44">
        <f>ROUND(G225*H225*0.1,2)</f>
        <v>600</v>
      </c>
      <c r="M225" s="44">
        <f t="shared" si="334"/>
        <v>6000</v>
      </c>
      <c r="N225" s="44">
        <v>4800</v>
      </c>
      <c r="O225" s="44">
        <v>600</v>
      </c>
      <c r="P225" s="44">
        <v>600</v>
      </c>
      <c r="Q225" s="44">
        <f t="shared" si="335"/>
        <v>0</v>
      </c>
      <c r="R225" s="50">
        <f aca="true" t="shared" si="358" ref="R225:T225">J225-N225</f>
        <v>0</v>
      </c>
      <c r="S225" s="50">
        <f t="shared" si="358"/>
        <v>0</v>
      </c>
      <c r="T225" s="50">
        <f t="shared" si="358"/>
        <v>0</v>
      </c>
      <c r="HT225" s="31"/>
      <c r="HU225" s="31"/>
      <c r="HV225" s="31"/>
      <c r="HW225" s="31"/>
    </row>
    <row r="226" spans="2:20" s="3" customFormat="1" ht="19.5" customHeight="1">
      <c r="B226" s="84" t="s">
        <v>237</v>
      </c>
      <c r="C226" s="85">
        <v>381</v>
      </c>
      <c r="D226" s="85">
        <v>375</v>
      </c>
      <c r="E226" s="85">
        <v>375</v>
      </c>
      <c r="F226" s="44"/>
      <c r="G226" s="44"/>
      <c r="H226" s="44">
        <v>850</v>
      </c>
      <c r="I226" s="44">
        <f t="shared" si="333"/>
        <v>380725</v>
      </c>
      <c r="J226" s="44">
        <f>368560-63980</f>
        <v>304580</v>
      </c>
      <c r="K226" s="44">
        <f>46070-7997.5</f>
        <v>38072.5</v>
      </c>
      <c r="L226" s="44">
        <f>46070-7997.5</f>
        <v>38072.5</v>
      </c>
      <c r="M226" s="44">
        <f t="shared" si="334"/>
        <v>230350</v>
      </c>
      <c r="N226" s="44">
        <v>184280</v>
      </c>
      <c r="O226" s="44">
        <v>23035</v>
      </c>
      <c r="P226" s="44">
        <v>23035</v>
      </c>
      <c r="Q226" s="44">
        <f t="shared" si="335"/>
        <v>150375</v>
      </c>
      <c r="R226" s="50">
        <f aca="true" t="shared" si="359" ref="R226:T226">J226-N226</f>
        <v>120300</v>
      </c>
      <c r="S226" s="50">
        <f t="shared" si="359"/>
        <v>15037.5</v>
      </c>
      <c r="T226" s="50">
        <f t="shared" si="359"/>
        <v>15037.5</v>
      </c>
    </row>
    <row r="227" spans="2:231" s="3" customFormat="1" ht="19.5" customHeight="1">
      <c r="B227" s="84" t="s">
        <v>238</v>
      </c>
      <c r="C227" s="85"/>
      <c r="D227" s="85">
        <v>5</v>
      </c>
      <c r="E227" s="85"/>
      <c r="F227" s="44">
        <v>5</v>
      </c>
      <c r="G227" s="44"/>
      <c r="H227" s="44">
        <v>6000</v>
      </c>
      <c r="I227" s="44">
        <f t="shared" si="333"/>
        <v>30000</v>
      </c>
      <c r="J227" s="44">
        <v>24000</v>
      </c>
      <c r="K227" s="44">
        <v>3000</v>
      </c>
      <c r="L227" s="44">
        <v>3000</v>
      </c>
      <c r="M227" s="44">
        <f t="shared" si="334"/>
        <v>15000</v>
      </c>
      <c r="N227" s="44">
        <v>12000</v>
      </c>
      <c r="O227" s="44">
        <v>1500</v>
      </c>
      <c r="P227" s="44">
        <v>1500</v>
      </c>
      <c r="Q227" s="44">
        <f t="shared" si="335"/>
        <v>15000</v>
      </c>
      <c r="R227" s="50">
        <f aca="true" t="shared" si="360" ref="R227:T227">J227-N227</f>
        <v>12000</v>
      </c>
      <c r="S227" s="50">
        <f t="shared" si="360"/>
        <v>1500</v>
      </c>
      <c r="T227" s="50">
        <f t="shared" si="360"/>
        <v>1500</v>
      </c>
      <c r="HT227" s="89"/>
      <c r="HU227" s="89"/>
      <c r="HV227" s="89"/>
      <c r="HW227" s="89"/>
    </row>
    <row r="228" spans="2:231" s="3" customFormat="1" ht="19.5" customHeight="1">
      <c r="B228" s="84" t="s">
        <v>239</v>
      </c>
      <c r="C228" s="85"/>
      <c r="D228" s="85">
        <v>4</v>
      </c>
      <c r="E228" s="85"/>
      <c r="F228" s="44"/>
      <c r="G228" s="44">
        <v>4</v>
      </c>
      <c r="H228" s="44">
        <v>6000</v>
      </c>
      <c r="I228" s="44">
        <f t="shared" si="333"/>
        <v>24000</v>
      </c>
      <c r="J228" s="44">
        <v>19200</v>
      </c>
      <c r="K228" s="44">
        <v>2400</v>
      </c>
      <c r="L228" s="44">
        <v>2400</v>
      </c>
      <c r="M228" s="44">
        <f t="shared" si="334"/>
        <v>12000</v>
      </c>
      <c r="N228" s="44">
        <v>9600</v>
      </c>
      <c r="O228" s="44">
        <v>1200</v>
      </c>
      <c r="P228" s="44">
        <v>1200</v>
      </c>
      <c r="Q228" s="44">
        <f t="shared" si="335"/>
        <v>12000</v>
      </c>
      <c r="R228" s="50">
        <f aca="true" t="shared" si="361" ref="R228:T228">J228-N228</f>
        <v>9600</v>
      </c>
      <c r="S228" s="50">
        <f t="shared" si="361"/>
        <v>1200</v>
      </c>
      <c r="T228" s="50">
        <f t="shared" si="361"/>
        <v>1200</v>
      </c>
      <c r="HT228" s="31"/>
      <c r="HU228" s="31"/>
      <c r="HV228" s="31"/>
      <c r="HW228" s="31"/>
    </row>
    <row r="229" spans="2:20" s="3" customFormat="1" ht="19.5" customHeight="1">
      <c r="B229" s="84" t="s">
        <v>240</v>
      </c>
      <c r="C229" s="85">
        <v>276</v>
      </c>
      <c r="D229" s="85">
        <v>272</v>
      </c>
      <c r="E229" s="85">
        <v>272</v>
      </c>
      <c r="F229" s="44"/>
      <c r="G229" s="44"/>
      <c r="H229" s="44">
        <v>850</v>
      </c>
      <c r="I229" s="44">
        <f t="shared" si="333"/>
        <v>181091.35</v>
      </c>
      <c r="J229" s="44">
        <f>ROUND(E229*H229*0.8,2)-33868.65+30000</f>
        <v>181091.35</v>
      </c>
      <c r="K229" s="44">
        <f>ROUND(E229*H229*0.1,2)-23120</f>
        <v>0</v>
      </c>
      <c r="L229" s="44">
        <f>ROUND(E229*H229*0.1,2)-23120</f>
        <v>0</v>
      </c>
      <c r="M229" s="44">
        <f t="shared" si="334"/>
        <v>181091.35</v>
      </c>
      <c r="N229" s="44">
        <v>181091.35</v>
      </c>
      <c r="O229" s="44">
        <v>0</v>
      </c>
      <c r="P229" s="44">
        <v>0</v>
      </c>
      <c r="Q229" s="44">
        <f t="shared" si="335"/>
        <v>0</v>
      </c>
      <c r="R229" s="50">
        <f aca="true" t="shared" si="362" ref="R229:T229">J229-N229</f>
        <v>0</v>
      </c>
      <c r="S229" s="50">
        <f t="shared" si="362"/>
        <v>0</v>
      </c>
      <c r="T229" s="50">
        <f t="shared" si="362"/>
        <v>0</v>
      </c>
    </row>
    <row r="230" spans="2:231" s="3" customFormat="1" ht="19.5" customHeight="1">
      <c r="B230" s="84" t="s">
        <v>241</v>
      </c>
      <c r="C230" s="85"/>
      <c r="D230" s="85">
        <v>3</v>
      </c>
      <c r="E230" s="59"/>
      <c r="F230" s="44">
        <v>3</v>
      </c>
      <c r="G230" s="44"/>
      <c r="H230" s="44">
        <v>6000</v>
      </c>
      <c r="I230" s="44">
        <f t="shared" si="333"/>
        <v>15046</v>
      </c>
      <c r="J230" s="44">
        <f>ROUND(F230*H230*0.8,2)</f>
        <v>14400</v>
      </c>
      <c r="K230" s="44">
        <f>ROUND(F230*H230*0.1,2)-1800</f>
        <v>0</v>
      </c>
      <c r="L230" s="44">
        <f>ROUND(F230*H230*0.1,2)-1154</f>
        <v>646</v>
      </c>
      <c r="M230" s="44">
        <f t="shared" si="334"/>
        <v>15046</v>
      </c>
      <c r="N230" s="44">
        <v>14400</v>
      </c>
      <c r="O230" s="44">
        <v>0</v>
      </c>
      <c r="P230" s="44">
        <v>646</v>
      </c>
      <c r="Q230" s="44">
        <f t="shared" si="335"/>
        <v>0</v>
      </c>
      <c r="R230" s="50">
        <f aca="true" t="shared" si="363" ref="R230:T230">J230-N230</f>
        <v>0</v>
      </c>
      <c r="S230" s="50">
        <f t="shared" si="363"/>
        <v>0</v>
      </c>
      <c r="T230" s="50">
        <f t="shared" si="363"/>
        <v>0</v>
      </c>
      <c r="HT230" s="31"/>
      <c r="HU230" s="31"/>
      <c r="HV230" s="31"/>
      <c r="HW230" s="31"/>
    </row>
    <row r="231" spans="2:231" s="3" customFormat="1" ht="19.5" customHeight="1">
      <c r="B231" s="84" t="s">
        <v>242</v>
      </c>
      <c r="C231" s="85"/>
      <c r="D231" s="85">
        <v>1</v>
      </c>
      <c r="E231" s="59"/>
      <c r="F231" s="44"/>
      <c r="G231" s="44">
        <v>1</v>
      </c>
      <c r="H231" s="44">
        <v>6000</v>
      </c>
      <c r="I231" s="44">
        <f t="shared" si="333"/>
        <v>5400</v>
      </c>
      <c r="J231" s="44">
        <f>ROUND(G231*H231*0.8,2)</f>
        <v>4800</v>
      </c>
      <c r="K231" s="44">
        <f>ROUND(G231*H231*0.1,2)-600</f>
        <v>0</v>
      </c>
      <c r="L231" s="44">
        <f>ROUND(G231*H231*0.1,2)</f>
        <v>600</v>
      </c>
      <c r="M231" s="44">
        <f t="shared" si="334"/>
        <v>5400</v>
      </c>
      <c r="N231" s="44">
        <v>4800</v>
      </c>
      <c r="O231" s="44">
        <v>0</v>
      </c>
      <c r="P231" s="44">
        <v>600</v>
      </c>
      <c r="Q231" s="44">
        <f t="shared" si="335"/>
        <v>0</v>
      </c>
      <c r="R231" s="50">
        <f aca="true" t="shared" si="364" ref="R231:T231">J231-N231</f>
        <v>0</v>
      </c>
      <c r="S231" s="50">
        <f t="shared" si="364"/>
        <v>0</v>
      </c>
      <c r="T231" s="50">
        <f t="shared" si="364"/>
        <v>0</v>
      </c>
      <c r="HT231" s="31"/>
      <c r="HU231" s="31"/>
      <c r="HV231" s="31"/>
      <c r="HW231" s="31"/>
    </row>
    <row r="232" spans="2:20" s="3" customFormat="1" ht="19.5" customHeight="1">
      <c r="B232" s="84" t="s">
        <v>243</v>
      </c>
      <c r="C232" s="85">
        <v>205</v>
      </c>
      <c r="D232" s="85">
        <v>201</v>
      </c>
      <c r="E232" s="85">
        <v>201</v>
      </c>
      <c r="F232" s="44"/>
      <c r="G232" s="44"/>
      <c r="H232" s="44">
        <v>850</v>
      </c>
      <c r="I232" s="44">
        <f t="shared" si="333"/>
        <v>129689.16</v>
      </c>
      <c r="J232" s="44">
        <f>ROUND(E232*H232*0.8,2)-47436.08+30000</f>
        <v>119243.92</v>
      </c>
      <c r="K232" s="44">
        <f>ROUND(E232*H232*0.1,2)-17085</f>
        <v>0</v>
      </c>
      <c r="L232" s="44">
        <f>ROUND(E232*H232*0.1,2)-6639.76</f>
        <v>10445.24</v>
      </c>
      <c r="M232" s="44">
        <f t="shared" si="334"/>
        <v>129689.16</v>
      </c>
      <c r="N232" s="44">
        <v>119243.92</v>
      </c>
      <c r="O232" s="44">
        <v>0</v>
      </c>
      <c r="P232" s="44">
        <v>10445.24</v>
      </c>
      <c r="Q232" s="44">
        <f t="shared" si="335"/>
        <v>0</v>
      </c>
      <c r="R232" s="50">
        <f aca="true" t="shared" si="365" ref="R232:T232">J232-N232</f>
        <v>0</v>
      </c>
      <c r="S232" s="50">
        <f t="shared" si="365"/>
        <v>0</v>
      </c>
      <c r="T232" s="50">
        <f t="shared" si="365"/>
        <v>0</v>
      </c>
    </row>
    <row r="233" spans="2:231" s="3" customFormat="1" ht="19.5" customHeight="1">
      <c r="B233" s="84" t="s">
        <v>244</v>
      </c>
      <c r="C233" s="85"/>
      <c r="D233" s="85">
        <v>2</v>
      </c>
      <c r="E233" s="85"/>
      <c r="F233" s="44">
        <v>2</v>
      </c>
      <c r="G233" s="44"/>
      <c r="H233" s="44">
        <v>6000</v>
      </c>
      <c r="I233" s="44">
        <f t="shared" si="333"/>
        <v>10800</v>
      </c>
      <c r="J233" s="44">
        <f>ROUND(F233*H233*0.8,2)</f>
        <v>9600</v>
      </c>
      <c r="K233" s="44">
        <f>ROUND(F233*H233*0.1,2)-1200</f>
        <v>0</v>
      </c>
      <c r="L233" s="44">
        <f>ROUND(F233*H233*0.1,2)</f>
        <v>1200</v>
      </c>
      <c r="M233" s="44">
        <f t="shared" si="334"/>
        <v>10800</v>
      </c>
      <c r="N233" s="44">
        <v>9600</v>
      </c>
      <c r="O233" s="44">
        <v>0</v>
      </c>
      <c r="P233" s="44">
        <v>1200</v>
      </c>
      <c r="Q233" s="44">
        <f t="shared" si="335"/>
        <v>0</v>
      </c>
      <c r="R233" s="50">
        <f aca="true" t="shared" si="366" ref="R233:T233">J233-N233</f>
        <v>0</v>
      </c>
      <c r="S233" s="50">
        <f t="shared" si="366"/>
        <v>0</v>
      </c>
      <c r="T233" s="50">
        <f t="shared" si="366"/>
        <v>0</v>
      </c>
      <c r="HT233" s="31"/>
      <c r="HU233" s="31"/>
      <c r="HV233" s="31"/>
      <c r="HW233" s="31"/>
    </row>
    <row r="234" spans="2:231" s="3" customFormat="1" ht="19.5" customHeight="1">
      <c r="B234" s="84" t="s">
        <v>245</v>
      </c>
      <c r="C234" s="85"/>
      <c r="D234" s="85">
        <v>2</v>
      </c>
      <c r="E234" s="85"/>
      <c r="F234" s="44"/>
      <c r="G234" s="44">
        <v>2</v>
      </c>
      <c r="H234" s="44">
        <v>6000</v>
      </c>
      <c r="I234" s="44">
        <f t="shared" si="333"/>
        <v>10800</v>
      </c>
      <c r="J234" s="44">
        <f>ROUND(G234*H234*0.8,2)</f>
        <v>9600</v>
      </c>
      <c r="K234" s="44">
        <f>ROUND(G234*H234*0.1,2)-1200</f>
        <v>0</v>
      </c>
      <c r="L234" s="44">
        <f>ROUND(G234*H234*0.1,2)</f>
        <v>1200</v>
      </c>
      <c r="M234" s="44">
        <f t="shared" si="334"/>
        <v>10800</v>
      </c>
      <c r="N234" s="44">
        <v>9600</v>
      </c>
      <c r="O234" s="44">
        <v>0</v>
      </c>
      <c r="P234" s="44">
        <v>1200</v>
      </c>
      <c r="Q234" s="44">
        <f t="shared" si="335"/>
        <v>0</v>
      </c>
      <c r="R234" s="50">
        <f aca="true" t="shared" si="367" ref="R234:T234">J234-N234</f>
        <v>0</v>
      </c>
      <c r="S234" s="50">
        <f t="shared" si="367"/>
        <v>0</v>
      </c>
      <c r="T234" s="50">
        <f t="shared" si="367"/>
        <v>0</v>
      </c>
      <c r="HT234" s="31"/>
      <c r="HU234" s="31"/>
      <c r="HV234" s="31"/>
      <c r="HW234" s="31"/>
    </row>
    <row r="235" spans="2:20" s="3" customFormat="1" ht="19.5" customHeight="1">
      <c r="B235" s="84" t="s">
        <v>246</v>
      </c>
      <c r="C235" s="85">
        <v>406</v>
      </c>
      <c r="D235" s="85">
        <v>402</v>
      </c>
      <c r="E235" s="85">
        <v>402</v>
      </c>
      <c r="F235" s="44"/>
      <c r="G235" s="44"/>
      <c r="H235" s="44">
        <v>850</v>
      </c>
      <c r="I235" s="44">
        <f t="shared" si="333"/>
        <v>412475</v>
      </c>
      <c r="J235" s="44">
        <f>419560-73476.17</f>
        <v>346083.83</v>
      </c>
      <c r="K235" s="44">
        <f>52445-9437.5-19623.83</f>
        <v>23383.67</v>
      </c>
      <c r="L235" s="44">
        <f>52445-9437.5</f>
        <v>43007.5</v>
      </c>
      <c r="M235" s="44">
        <f t="shared" si="334"/>
        <v>259386.16999999998</v>
      </c>
      <c r="N235" s="44">
        <v>209780</v>
      </c>
      <c r="O235" s="44">
        <v>23383.67</v>
      </c>
      <c r="P235" s="44">
        <v>26222.5</v>
      </c>
      <c r="Q235" s="44">
        <f t="shared" si="335"/>
        <v>153088.83000000002</v>
      </c>
      <c r="R235" s="50">
        <f aca="true" t="shared" si="368" ref="R235:T235">J235-N235</f>
        <v>136303.83000000002</v>
      </c>
      <c r="S235" s="50">
        <f t="shared" si="368"/>
        <v>0</v>
      </c>
      <c r="T235" s="50">
        <f t="shared" si="368"/>
        <v>16785</v>
      </c>
    </row>
    <row r="236" spans="2:231" s="3" customFormat="1" ht="19.5" customHeight="1">
      <c r="B236" s="84" t="s">
        <v>247</v>
      </c>
      <c r="C236" s="85"/>
      <c r="D236" s="85">
        <v>4</v>
      </c>
      <c r="E236" s="85"/>
      <c r="F236" s="44">
        <v>4</v>
      </c>
      <c r="G236" s="44"/>
      <c r="H236" s="44">
        <v>6000</v>
      </c>
      <c r="I236" s="44">
        <f t="shared" si="333"/>
        <v>24000</v>
      </c>
      <c r="J236" s="44">
        <v>19200</v>
      </c>
      <c r="K236" s="44">
        <v>2400</v>
      </c>
      <c r="L236" s="44">
        <v>2400</v>
      </c>
      <c r="M236" s="44">
        <f t="shared" si="334"/>
        <v>12000</v>
      </c>
      <c r="N236" s="44">
        <v>9600</v>
      </c>
      <c r="O236" s="44">
        <v>1200</v>
      </c>
      <c r="P236" s="44">
        <v>1200</v>
      </c>
      <c r="Q236" s="44">
        <f t="shared" si="335"/>
        <v>12000</v>
      </c>
      <c r="R236" s="50">
        <f aca="true" t="shared" si="369" ref="R236:T236">J236-N236</f>
        <v>9600</v>
      </c>
      <c r="S236" s="50">
        <f t="shared" si="369"/>
        <v>1200</v>
      </c>
      <c r="T236" s="50">
        <f t="shared" si="369"/>
        <v>1200</v>
      </c>
      <c r="HT236" s="31"/>
      <c r="HU236" s="31"/>
      <c r="HV236" s="31"/>
      <c r="HW236" s="31"/>
    </row>
    <row r="237" spans="2:231" s="3" customFormat="1" ht="19.5" customHeight="1">
      <c r="B237" s="84" t="s">
        <v>248</v>
      </c>
      <c r="C237" s="85"/>
      <c r="D237" s="85">
        <v>1</v>
      </c>
      <c r="E237" s="85"/>
      <c r="F237" s="44"/>
      <c r="G237" s="44">
        <v>1</v>
      </c>
      <c r="H237" s="44">
        <v>6000</v>
      </c>
      <c r="I237" s="44">
        <f t="shared" si="333"/>
        <v>6000</v>
      </c>
      <c r="J237" s="44">
        <v>4800</v>
      </c>
      <c r="K237" s="44">
        <v>600</v>
      </c>
      <c r="L237" s="44">
        <v>600</v>
      </c>
      <c r="M237" s="44">
        <f t="shared" si="334"/>
        <v>3000</v>
      </c>
      <c r="N237" s="44">
        <v>2400</v>
      </c>
      <c r="O237" s="44">
        <v>300</v>
      </c>
      <c r="P237" s="44">
        <v>300</v>
      </c>
      <c r="Q237" s="44">
        <f t="shared" si="335"/>
        <v>3000</v>
      </c>
      <c r="R237" s="50">
        <f aca="true" t="shared" si="370" ref="R237:T237">J237-N237</f>
        <v>2400</v>
      </c>
      <c r="S237" s="50">
        <f t="shared" si="370"/>
        <v>300</v>
      </c>
      <c r="T237" s="50">
        <f t="shared" si="370"/>
        <v>300</v>
      </c>
      <c r="HT237" s="31"/>
      <c r="HU237" s="31"/>
      <c r="HV237" s="31"/>
      <c r="HW237" s="31"/>
    </row>
    <row r="238" spans="2:20" s="3" customFormat="1" ht="19.5" customHeight="1">
      <c r="B238" s="84" t="s">
        <v>249</v>
      </c>
      <c r="C238" s="85">
        <v>1011</v>
      </c>
      <c r="D238" s="85">
        <v>1009</v>
      </c>
      <c r="E238" s="85">
        <v>1009</v>
      </c>
      <c r="F238" s="44"/>
      <c r="G238" s="44"/>
      <c r="H238" s="44">
        <v>850</v>
      </c>
      <c r="I238" s="44">
        <f t="shared" si="333"/>
        <v>857650</v>
      </c>
      <c r="J238" s="44">
        <f>ROUND(E238*H238*0.8,2)</f>
        <v>686120</v>
      </c>
      <c r="K238" s="44">
        <f>ROUND(E238*H238*0.1,2)</f>
        <v>85765</v>
      </c>
      <c r="L238" s="44">
        <f>ROUND(E238*H238*0.1,2)</f>
        <v>85765</v>
      </c>
      <c r="M238" s="44">
        <f t="shared" si="334"/>
        <v>428825</v>
      </c>
      <c r="N238" s="44">
        <v>343060</v>
      </c>
      <c r="O238" s="44">
        <v>42882.5</v>
      </c>
      <c r="P238" s="44">
        <v>42882.5</v>
      </c>
      <c r="Q238" s="44">
        <f t="shared" si="335"/>
        <v>428825</v>
      </c>
      <c r="R238" s="50">
        <f aca="true" t="shared" si="371" ref="R238:T238">J238-N238</f>
        <v>343060</v>
      </c>
      <c r="S238" s="50">
        <f t="shared" si="371"/>
        <v>42882.5</v>
      </c>
      <c r="T238" s="50">
        <f t="shared" si="371"/>
        <v>42882.5</v>
      </c>
    </row>
    <row r="239" spans="2:231" s="3" customFormat="1" ht="19.5" customHeight="1">
      <c r="B239" s="84" t="s">
        <v>250</v>
      </c>
      <c r="C239" s="85"/>
      <c r="D239" s="85">
        <v>2</v>
      </c>
      <c r="E239" s="85"/>
      <c r="F239" s="44">
        <v>2</v>
      </c>
      <c r="G239" s="44"/>
      <c r="H239" s="44">
        <v>6000</v>
      </c>
      <c r="I239" s="44">
        <f t="shared" si="333"/>
        <v>12000</v>
      </c>
      <c r="J239" s="44">
        <f>ROUND(F239*H239*0.8,2)</f>
        <v>9600</v>
      </c>
      <c r="K239" s="44">
        <f>ROUND(F239*H239*0.1,2)</f>
        <v>1200</v>
      </c>
      <c r="L239" s="44">
        <f>ROUND(F239*H239*0.1,2)</f>
        <v>1200</v>
      </c>
      <c r="M239" s="44">
        <f t="shared" si="334"/>
        <v>6000</v>
      </c>
      <c r="N239" s="44">
        <v>4800</v>
      </c>
      <c r="O239" s="44">
        <v>600</v>
      </c>
      <c r="P239" s="44">
        <v>600</v>
      </c>
      <c r="Q239" s="44">
        <f t="shared" si="335"/>
        <v>6000</v>
      </c>
      <c r="R239" s="50">
        <f aca="true" t="shared" si="372" ref="R239:T239">J239-N239</f>
        <v>4800</v>
      </c>
      <c r="S239" s="50">
        <f t="shared" si="372"/>
        <v>600</v>
      </c>
      <c r="T239" s="50">
        <f t="shared" si="372"/>
        <v>600</v>
      </c>
      <c r="HT239" s="31"/>
      <c r="HU239" s="31"/>
      <c r="HV239" s="31"/>
      <c r="HW239" s="31"/>
    </row>
    <row r="240" spans="2:20" s="3" customFormat="1" ht="19.5" customHeight="1">
      <c r="B240" s="84" t="s">
        <v>251</v>
      </c>
      <c r="C240" s="85">
        <v>2255</v>
      </c>
      <c r="D240" s="85">
        <v>2250</v>
      </c>
      <c r="E240" s="85">
        <v>2250</v>
      </c>
      <c r="F240" s="44"/>
      <c r="G240" s="44"/>
      <c r="H240" s="44">
        <v>850</v>
      </c>
      <c r="I240" s="44">
        <f t="shared" si="333"/>
        <v>1374775.7</v>
      </c>
      <c r="J240" s="44">
        <f>669800+260100+170000-19623.83</f>
        <v>1080276.17</v>
      </c>
      <c r="K240" s="44">
        <f>83725+46814.44+19623.83-2178</f>
        <v>147985.27000000002</v>
      </c>
      <c r="L240" s="44">
        <f>83725+58905.56+1805-99.3+2178</f>
        <v>146514.26</v>
      </c>
      <c r="M240" s="44">
        <f t="shared" si="334"/>
        <v>418625</v>
      </c>
      <c r="N240" s="44">
        <v>334900</v>
      </c>
      <c r="O240" s="44">
        <v>41862.5</v>
      </c>
      <c r="P240" s="44">
        <v>41862.5</v>
      </c>
      <c r="Q240" s="44">
        <f t="shared" si="335"/>
        <v>956150.7</v>
      </c>
      <c r="R240" s="50">
        <f aca="true" t="shared" si="373" ref="R240:T240">J240-N240</f>
        <v>745376.1699999999</v>
      </c>
      <c r="S240" s="50">
        <f t="shared" si="373"/>
        <v>106122.77000000002</v>
      </c>
      <c r="T240" s="50">
        <f t="shared" si="373"/>
        <v>104651.76000000001</v>
      </c>
    </row>
    <row r="241" spans="2:231" s="3" customFormat="1" ht="19.5" customHeight="1">
      <c r="B241" s="84" t="s">
        <v>252</v>
      </c>
      <c r="C241" s="85"/>
      <c r="D241" s="85">
        <v>5</v>
      </c>
      <c r="E241" s="59"/>
      <c r="F241" s="44">
        <v>5</v>
      </c>
      <c r="G241" s="44"/>
      <c r="H241" s="44">
        <v>6000</v>
      </c>
      <c r="I241" s="44">
        <f t="shared" si="333"/>
        <v>30000</v>
      </c>
      <c r="J241" s="44">
        <f>ROUND(F241*H241*0.8,2)</f>
        <v>24000</v>
      </c>
      <c r="K241" s="44">
        <f>ROUND(F241*H241*0.1,2)</f>
        <v>3000</v>
      </c>
      <c r="L241" s="44">
        <f>ROUND(F241*H241*0.1,2)</f>
        <v>3000</v>
      </c>
      <c r="M241" s="44">
        <f t="shared" si="334"/>
        <v>15000</v>
      </c>
      <c r="N241" s="44">
        <v>12000</v>
      </c>
      <c r="O241" s="44">
        <v>1500</v>
      </c>
      <c r="P241" s="44">
        <v>1500</v>
      </c>
      <c r="Q241" s="44">
        <f t="shared" si="335"/>
        <v>15000</v>
      </c>
      <c r="R241" s="50">
        <f aca="true" t="shared" si="374" ref="R241:T241">J241-N241</f>
        <v>12000</v>
      </c>
      <c r="S241" s="50">
        <f t="shared" si="374"/>
        <v>1500</v>
      </c>
      <c r="T241" s="50">
        <f t="shared" si="374"/>
        <v>1500</v>
      </c>
      <c r="HT241" s="31"/>
      <c r="HU241" s="31"/>
      <c r="HV241" s="31"/>
      <c r="HW241" s="31"/>
    </row>
    <row r="242" spans="2:20" s="3" customFormat="1" ht="19.5" customHeight="1">
      <c r="B242" s="84" t="s">
        <v>253</v>
      </c>
      <c r="C242" s="85">
        <v>823</v>
      </c>
      <c r="D242" s="85">
        <v>823</v>
      </c>
      <c r="E242" s="85">
        <v>823</v>
      </c>
      <c r="F242" s="44"/>
      <c r="G242" s="44"/>
      <c r="H242" s="44">
        <v>850</v>
      </c>
      <c r="I242" s="44">
        <f t="shared" si="333"/>
        <v>660450</v>
      </c>
      <c r="J242" s="44">
        <v>497080</v>
      </c>
      <c r="K242" s="44">
        <f>62135+35190</f>
        <v>97325</v>
      </c>
      <c r="L242" s="44">
        <f>62135+3910</f>
        <v>66045</v>
      </c>
      <c r="M242" s="44">
        <f t="shared" si="334"/>
        <v>310675</v>
      </c>
      <c r="N242" s="44">
        <v>248540</v>
      </c>
      <c r="O242" s="44">
        <v>31067.5</v>
      </c>
      <c r="P242" s="44">
        <v>31067.5</v>
      </c>
      <c r="Q242" s="44">
        <f t="shared" si="335"/>
        <v>349775</v>
      </c>
      <c r="R242" s="50">
        <f aca="true" t="shared" si="375" ref="R242:T242">J242-N242</f>
        <v>248540</v>
      </c>
      <c r="S242" s="50">
        <f t="shared" si="375"/>
        <v>66257.5</v>
      </c>
      <c r="T242" s="50">
        <f t="shared" si="375"/>
        <v>34977.5</v>
      </c>
    </row>
    <row r="243" spans="2:20" s="27" customFormat="1" ht="19.5" customHeight="1">
      <c r="B243" s="40" t="s">
        <v>254</v>
      </c>
      <c r="C243" s="41">
        <f aca="true" t="shared" si="376" ref="C243:G243">SUM(C244)</f>
        <v>77</v>
      </c>
      <c r="D243" s="41">
        <f t="shared" si="376"/>
        <v>77</v>
      </c>
      <c r="E243" s="41">
        <f t="shared" si="376"/>
        <v>77</v>
      </c>
      <c r="F243" s="41">
        <f t="shared" si="376"/>
        <v>0</v>
      </c>
      <c r="G243" s="41">
        <f t="shared" si="376"/>
        <v>0</v>
      </c>
      <c r="H243" s="41"/>
      <c r="I243" s="41">
        <f aca="true" t="shared" si="377" ref="I243:T243">SUM(I244)</f>
        <v>444000</v>
      </c>
      <c r="J243" s="41">
        <f t="shared" si="377"/>
        <v>340800</v>
      </c>
      <c r="K243" s="41">
        <f t="shared" si="377"/>
        <v>42600</v>
      </c>
      <c r="L243" s="41">
        <f t="shared" si="377"/>
        <v>60600</v>
      </c>
      <c r="M243" s="41">
        <f t="shared" si="377"/>
        <v>213000</v>
      </c>
      <c r="N243" s="41">
        <f t="shared" si="377"/>
        <v>170400</v>
      </c>
      <c r="O243" s="41">
        <f t="shared" si="377"/>
        <v>21300</v>
      </c>
      <c r="P243" s="41">
        <f t="shared" si="377"/>
        <v>21300</v>
      </c>
      <c r="Q243" s="41">
        <f t="shared" si="377"/>
        <v>231000</v>
      </c>
      <c r="R243" s="41">
        <f t="shared" si="377"/>
        <v>170400</v>
      </c>
      <c r="S243" s="41">
        <f t="shared" si="377"/>
        <v>21300</v>
      </c>
      <c r="T243" s="41">
        <f t="shared" si="377"/>
        <v>39300</v>
      </c>
    </row>
    <row r="244" spans="2:20" s="3" customFormat="1" ht="19.5" customHeight="1">
      <c r="B244" s="59" t="s">
        <v>255</v>
      </c>
      <c r="C244" s="87">
        <v>77</v>
      </c>
      <c r="D244" s="87">
        <v>77</v>
      </c>
      <c r="E244" s="44">
        <v>77</v>
      </c>
      <c r="F244" s="44"/>
      <c r="G244" s="44"/>
      <c r="H244" s="44">
        <v>6000</v>
      </c>
      <c r="I244" s="44">
        <f>SUM(J244:L244)</f>
        <v>444000</v>
      </c>
      <c r="J244" s="44">
        <v>340800</v>
      </c>
      <c r="K244" s="44">
        <v>42600</v>
      </c>
      <c r="L244" s="44">
        <f>42600+18000</f>
        <v>60600</v>
      </c>
      <c r="M244" s="44">
        <f>SUM(N244:P244)</f>
        <v>213000</v>
      </c>
      <c r="N244" s="44">
        <v>170400</v>
      </c>
      <c r="O244" s="44">
        <v>21300</v>
      </c>
      <c r="P244" s="44">
        <v>21300</v>
      </c>
      <c r="Q244" s="44">
        <f>SUM(R244:T244)</f>
        <v>231000</v>
      </c>
      <c r="R244" s="50">
        <f aca="true" t="shared" si="378" ref="R244:T244">J244-N244</f>
        <v>170400</v>
      </c>
      <c r="S244" s="50">
        <f t="shared" si="378"/>
        <v>21300</v>
      </c>
      <c r="T244" s="50">
        <f t="shared" si="378"/>
        <v>39300</v>
      </c>
    </row>
  </sheetData>
  <sheetProtection/>
  <mergeCells count="12">
    <mergeCell ref="B1:T1"/>
    <mergeCell ref="D3:F3"/>
    <mergeCell ref="I4:L4"/>
    <mergeCell ref="M4:P4"/>
    <mergeCell ref="Q4:T4"/>
    <mergeCell ref="B4:B5"/>
    <mergeCell ref="C4:C5"/>
    <mergeCell ref="D4:D5"/>
    <mergeCell ref="E4:E5"/>
    <mergeCell ref="F4:F5"/>
    <mergeCell ref="G4:G5"/>
    <mergeCell ref="H4:H5"/>
  </mergeCells>
  <printOptions/>
  <pageMargins left="0.5506944444444445" right="0.5506944444444445" top="0.6020833333333333" bottom="0.8069444444444445" header="0.5118055555555555" footer="0.5118055555555555"/>
  <pageSetup horizontalDpi="600" verticalDpi="600" orientation="landscape" paperSize="9" scale="6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workbookViewId="0" topLeftCell="A1">
      <selection activeCell="H17" sqref="H17"/>
    </sheetView>
  </sheetViews>
  <sheetFormatPr defaultColWidth="9.00390625" defaultRowHeight="14.25"/>
  <cols>
    <col min="1" max="1" width="5.625" style="3" customWidth="1"/>
    <col min="2" max="2" width="14.625" style="3" customWidth="1"/>
    <col min="3" max="3" width="7.50390625" style="3" customWidth="1"/>
    <col min="4" max="4" width="5.875" style="3" customWidth="1"/>
    <col min="5" max="5" width="10.00390625" style="3" customWidth="1"/>
    <col min="6" max="6" width="9.875" style="3" customWidth="1"/>
    <col min="7" max="8" width="9.625" style="3" customWidth="1"/>
    <col min="9" max="251" width="9.00390625" style="3" customWidth="1"/>
    <col min="252" max="16384" width="9.00390625" style="5" customWidth="1"/>
  </cols>
  <sheetData>
    <row r="1" spans="1:14" s="3" customFormat="1" ht="33" customHeight="1">
      <c r="A1" s="6" t="s">
        <v>256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5" s="3" customFormat="1" ht="9" customHeight="1">
      <c r="A2" s="7"/>
      <c r="B2" s="7"/>
      <c r="C2" s="7"/>
      <c r="D2" s="7"/>
      <c r="E2" s="7"/>
    </row>
    <row r="3" spans="1:6" s="3" customFormat="1" ht="19.5" customHeight="1">
      <c r="A3" s="8" t="s">
        <v>1</v>
      </c>
      <c r="B3" s="9"/>
      <c r="C3" s="10"/>
      <c r="D3" s="11"/>
      <c r="E3" s="11"/>
      <c r="F3" s="10"/>
    </row>
    <row r="4" spans="1:14" s="3" customFormat="1" ht="33" customHeight="1">
      <c r="A4" s="12"/>
      <c r="B4" s="12" t="s">
        <v>3</v>
      </c>
      <c r="C4" s="12" t="s">
        <v>257</v>
      </c>
      <c r="D4" s="12" t="s">
        <v>258</v>
      </c>
      <c r="E4" s="13" t="s">
        <v>12</v>
      </c>
      <c r="F4" s="14" t="s">
        <v>10</v>
      </c>
      <c r="G4" s="15"/>
      <c r="H4" s="16"/>
      <c r="I4" s="19" t="s">
        <v>11</v>
      </c>
      <c r="J4" s="19"/>
      <c r="K4" s="19"/>
      <c r="L4" s="19" t="s">
        <v>12</v>
      </c>
      <c r="M4" s="19"/>
      <c r="N4" s="19"/>
    </row>
    <row r="5" spans="1:14" s="3" customFormat="1" ht="28.5" customHeight="1">
      <c r="A5" s="17"/>
      <c r="B5" s="17"/>
      <c r="C5" s="17"/>
      <c r="D5" s="17"/>
      <c r="E5" s="18"/>
      <c r="F5" s="19" t="s">
        <v>14</v>
      </c>
      <c r="G5" s="19" t="s">
        <v>15</v>
      </c>
      <c r="H5" s="19" t="s">
        <v>16</v>
      </c>
      <c r="I5" s="19" t="s">
        <v>14</v>
      </c>
      <c r="J5" s="19" t="s">
        <v>15</v>
      </c>
      <c r="K5" s="19" t="s">
        <v>16</v>
      </c>
      <c r="L5" s="19" t="s">
        <v>14</v>
      </c>
      <c r="M5" s="19" t="s">
        <v>15</v>
      </c>
      <c r="N5" s="19" t="s">
        <v>16</v>
      </c>
    </row>
    <row r="6" spans="1:14" s="4" customFormat="1" ht="17.25" customHeight="1">
      <c r="A6" s="20"/>
      <c r="B6" s="21" t="s">
        <v>259</v>
      </c>
      <c r="C6" s="22">
        <f aca="true" t="shared" si="0" ref="C6:N6">C7+C20+C36</f>
        <v>12459</v>
      </c>
      <c r="D6" s="22"/>
      <c r="E6" s="22">
        <f t="shared" si="0"/>
        <v>2622990</v>
      </c>
      <c r="F6" s="22">
        <f t="shared" si="0"/>
        <v>2111760</v>
      </c>
      <c r="G6" s="22">
        <f t="shared" si="0"/>
        <v>252210</v>
      </c>
      <c r="H6" s="22">
        <f t="shared" si="0"/>
        <v>259020</v>
      </c>
      <c r="I6" s="22">
        <f t="shared" si="0"/>
        <v>1150000</v>
      </c>
      <c r="J6" s="22">
        <f t="shared" si="0"/>
        <v>134190</v>
      </c>
      <c r="K6" s="22">
        <f t="shared" si="0"/>
        <v>141000</v>
      </c>
      <c r="L6" s="22">
        <f t="shared" si="0"/>
        <v>961760</v>
      </c>
      <c r="M6" s="22">
        <f t="shared" si="0"/>
        <v>118020</v>
      </c>
      <c r="N6" s="22">
        <f t="shared" si="0"/>
        <v>118020</v>
      </c>
    </row>
    <row r="7" spans="1:14" s="4" customFormat="1" ht="17.25" customHeight="1">
      <c r="A7" s="20" t="s">
        <v>260</v>
      </c>
      <c r="B7" s="21" t="s">
        <v>261</v>
      </c>
      <c r="C7" s="22">
        <f aca="true" t="shared" si="1" ref="C7:N7">SUM(C8:C19)</f>
        <v>4639</v>
      </c>
      <c r="D7" s="22"/>
      <c r="E7" s="22">
        <f t="shared" si="1"/>
        <v>961800</v>
      </c>
      <c r="F7" s="22">
        <f t="shared" si="1"/>
        <v>769440</v>
      </c>
      <c r="G7" s="22">
        <f t="shared" si="1"/>
        <v>96180</v>
      </c>
      <c r="H7" s="22">
        <f t="shared" si="1"/>
        <v>96180</v>
      </c>
      <c r="I7" s="22">
        <f t="shared" si="1"/>
        <v>384720</v>
      </c>
      <c r="J7" s="22">
        <f t="shared" si="1"/>
        <v>48090</v>
      </c>
      <c r="K7" s="22">
        <f t="shared" si="1"/>
        <v>48090</v>
      </c>
      <c r="L7" s="22">
        <f t="shared" si="1"/>
        <v>384720</v>
      </c>
      <c r="M7" s="22">
        <f t="shared" si="1"/>
        <v>48090</v>
      </c>
      <c r="N7" s="22">
        <f t="shared" si="1"/>
        <v>48090</v>
      </c>
    </row>
    <row r="8" spans="1:14" s="4" customFormat="1" ht="17.25" customHeight="1">
      <c r="A8" s="20">
        <v>1</v>
      </c>
      <c r="B8" s="20" t="s">
        <v>262</v>
      </c>
      <c r="C8" s="23">
        <v>318</v>
      </c>
      <c r="D8" s="23">
        <v>200</v>
      </c>
      <c r="E8" s="23">
        <f aca="true" t="shared" si="2" ref="E8:E19">SUM(F8:H8)</f>
        <v>63600</v>
      </c>
      <c r="F8" s="23">
        <f aca="true" t="shared" si="3" ref="F8:F15">ROUND(C8*D8*0.8,2)</f>
        <v>50880</v>
      </c>
      <c r="G8" s="23">
        <f aca="true" t="shared" si="4" ref="G8:G15">ROUND(C8*D8*0.1,2)</f>
        <v>6360</v>
      </c>
      <c r="H8" s="23">
        <f aca="true" t="shared" si="5" ref="H8:H15">ROUND(C8*D8*0.1,2)</f>
        <v>6360</v>
      </c>
      <c r="I8" s="24">
        <v>25440</v>
      </c>
      <c r="J8" s="24">
        <v>3180</v>
      </c>
      <c r="K8" s="24">
        <v>3180</v>
      </c>
      <c r="L8" s="24">
        <f aca="true" t="shared" si="6" ref="L8:N8">F8-I8</f>
        <v>25440</v>
      </c>
      <c r="M8" s="24">
        <f t="shared" si="6"/>
        <v>3180</v>
      </c>
      <c r="N8" s="24">
        <f t="shared" si="6"/>
        <v>3180</v>
      </c>
    </row>
    <row r="9" spans="1:14" s="4" customFormat="1" ht="17.25" customHeight="1">
      <c r="A9" s="20">
        <v>2</v>
      </c>
      <c r="B9" s="20" t="s">
        <v>263</v>
      </c>
      <c r="C9" s="23">
        <v>616</v>
      </c>
      <c r="D9" s="23">
        <v>200</v>
      </c>
      <c r="E9" s="23">
        <f t="shared" si="2"/>
        <v>141800</v>
      </c>
      <c r="F9" s="23">
        <v>113440</v>
      </c>
      <c r="G9" s="23">
        <v>14180</v>
      </c>
      <c r="H9" s="23">
        <v>14180</v>
      </c>
      <c r="I9" s="24">
        <v>56720</v>
      </c>
      <c r="J9" s="24">
        <v>7090</v>
      </c>
      <c r="K9" s="24">
        <v>7090</v>
      </c>
      <c r="L9" s="24">
        <f aca="true" t="shared" si="7" ref="L9:N9">F9-I9</f>
        <v>56720</v>
      </c>
      <c r="M9" s="24">
        <f t="shared" si="7"/>
        <v>7090</v>
      </c>
      <c r="N9" s="24">
        <f t="shared" si="7"/>
        <v>7090</v>
      </c>
    </row>
    <row r="10" spans="1:14" s="4" customFormat="1" ht="17.25" customHeight="1">
      <c r="A10" s="20">
        <v>3</v>
      </c>
      <c r="B10" s="20" t="s">
        <v>264</v>
      </c>
      <c r="C10" s="23">
        <v>138</v>
      </c>
      <c r="D10" s="23">
        <v>200</v>
      </c>
      <c r="E10" s="23">
        <f t="shared" si="2"/>
        <v>27600</v>
      </c>
      <c r="F10" s="23">
        <f t="shared" si="3"/>
        <v>22080</v>
      </c>
      <c r="G10" s="23">
        <f t="shared" si="4"/>
        <v>2760</v>
      </c>
      <c r="H10" s="23">
        <f t="shared" si="5"/>
        <v>2760</v>
      </c>
      <c r="I10" s="24">
        <v>11040</v>
      </c>
      <c r="J10" s="24">
        <v>1380</v>
      </c>
      <c r="K10" s="24">
        <v>1380</v>
      </c>
      <c r="L10" s="24">
        <f aca="true" t="shared" si="8" ref="L10:N10">F10-I10</f>
        <v>11040</v>
      </c>
      <c r="M10" s="24">
        <f t="shared" si="8"/>
        <v>1380</v>
      </c>
      <c r="N10" s="24">
        <f t="shared" si="8"/>
        <v>1380</v>
      </c>
    </row>
    <row r="11" spans="1:14" s="4" customFormat="1" ht="17.25" customHeight="1">
      <c r="A11" s="20">
        <v>4</v>
      </c>
      <c r="B11" s="20" t="s">
        <v>265</v>
      </c>
      <c r="C11" s="23">
        <v>611</v>
      </c>
      <c r="D11" s="23">
        <v>200</v>
      </c>
      <c r="E11" s="23">
        <f t="shared" si="2"/>
        <v>122200</v>
      </c>
      <c r="F11" s="23">
        <f t="shared" si="3"/>
        <v>97760</v>
      </c>
      <c r="G11" s="23">
        <f t="shared" si="4"/>
        <v>12220</v>
      </c>
      <c r="H11" s="23">
        <f t="shared" si="5"/>
        <v>12220</v>
      </c>
      <c r="I11" s="24">
        <v>48880</v>
      </c>
      <c r="J11" s="24">
        <v>6110</v>
      </c>
      <c r="K11" s="24">
        <v>6110</v>
      </c>
      <c r="L11" s="24">
        <f aca="true" t="shared" si="9" ref="L11:N11">F11-I11</f>
        <v>48880</v>
      </c>
      <c r="M11" s="24">
        <f t="shared" si="9"/>
        <v>6110</v>
      </c>
      <c r="N11" s="24">
        <f t="shared" si="9"/>
        <v>6110</v>
      </c>
    </row>
    <row r="12" spans="1:14" s="4" customFormat="1" ht="17.25" customHeight="1">
      <c r="A12" s="20">
        <v>5</v>
      </c>
      <c r="B12" s="20" t="s">
        <v>266</v>
      </c>
      <c r="C12" s="23">
        <v>327</v>
      </c>
      <c r="D12" s="23">
        <v>200</v>
      </c>
      <c r="E12" s="23">
        <f t="shared" si="2"/>
        <v>65400</v>
      </c>
      <c r="F12" s="23">
        <f t="shared" si="3"/>
        <v>52320</v>
      </c>
      <c r="G12" s="23">
        <f t="shared" si="4"/>
        <v>6540</v>
      </c>
      <c r="H12" s="23">
        <f t="shared" si="5"/>
        <v>6540</v>
      </c>
      <c r="I12" s="24">
        <v>26160</v>
      </c>
      <c r="J12" s="24">
        <v>3270</v>
      </c>
      <c r="K12" s="24">
        <v>3270</v>
      </c>
      <c r="L12" s="24">
        <f aca="true" t="shared" si="10" ref="L12:N12">F12-I12</f>
        <v>26160</v>
      </c>
      <c r="M12" s="24">
        <f t="shared" si="10"/>
        <v>3270</v>
      </c>
      <c r="N12" s="24">
        <f t="shared" si="10"/>
        <v>3270</v>
      </c>
    </row>
    <row r="13" spans="1:14" s="4" customFormat="1" ht="17.25" customHeight="1">
      <c r="A13" s="20">
        <v>6</v>
      </c>
      <c r="B13" s="20" t="s">
        <v>267</v>
      </c>
      <c r="C13" s="23">
        <v>349</v>
      </c>
      <c r="D13" s="23">
        <v>200</v>
      </c>
      <c r="E13" s="23">
        <f t="shared" si="2"/>
        <v>69800</v>
      </c>
      <c r="F13" s="23">
        <f t="shared" si="3"/>
        <v>55840</v>
      </c>
      <c r="G13" s="23">
        <f t="shared" si="4"/>
        <v>6980</v>
      </c>
      <c r="H13" s="23">
        <f t="shared" si="5"/>
        <v>6980</v>
      </c>
      <c r="I13" s="24">
        <v>27920</v>
      </c>
      <c r="J13" s="24">
        <v>3490</v>
      </c>
      <c r="K13" s="24">
        <v>3490</v>
      </c>
      <c r="L13" s="24">
        <f aca="true" t="shared" si="11" ref="L13:N13">F13-I13</f>
        <v>27920</v>
      </c>
      <c r="M13" s="24">
        <f t="shared" si="11"/>
        <v>3490</v>
      </c>
      <c r="N13" s="24">
        <f t="shared" si="11"/>
        <v>3490</v>
      </c>
    </row>
    <row r="14" spans="1:14" s="4" customFormat="1" ht="17.25" customHeight="1">
      <c r="A14" s="20">
        <v>7</v>
      </c>
      <c r="B14" s="20" t="s">
        <v>268</v>
      </c>
      <c r="C14" s="23">
        <v>279</v>
      </c>
      <c r="D14" s="23">
        <v>200</v>
      </c>
      <c r="E14" s="23">
        <f t="shared" si="2"/>
        <v>55800</v>
      </c>
      <c r="F14" s="23">
        <f t="shared" si="3"/>
        <v>44640</v>
      </c>
      <c r="G14" s="23">
        <f t="shared" si="4"/>
        <v>5580</v>
      </c>
      <c r="H14" s="23">
        <f t="shared" si="5"/>
        <v>5580</v>
      </c>
      <c r="I14" s="24">
        <v>22320</v>
      </c>
      <c r="J14" s="24">
        <v>2790</v>
      </c>
      <c r="K14" s="24">
        <v>2790</v>
      </c>
      <c r="L14" s="24">
        <f aca="true" t="shared" si="12" ref="L14:N14">F14-I14</f>
        <v>22320</v>
      </c>
      <c r="M14" s="24">
        <f t="shared" si="12"/>
        <v>2790</v>
      </c>
      <c r="N14" s="24">
        <f t="shared" si="12"/>
        <v>2790</v>
      </c>
    </row>
    <row r="15" spans="1:14" s="4" customFormat="1" ht="17.25" customHeight="1">
      <c r="A15" s="20">
        <v>8</v>
      </c>
      <c r="B15" s="20" t="s">
        <v>269</v>
      </c>
      <c r="C15" s="23">
        <v>199</v>
      </c>
      <c r="D15" s="23">
        <v>200</v>
      </c>
      <c r="E15" s="23">
        <f t="shared" si="2"/>
        <v>39800</v>
      </c>
      <c r="F15" s="23">
        <f t="shared" si="3"/>
        <v>31840</v>
      </c>
      <c r="G15" s="23">
        <f t="shared" si="4"/>
        <v>3980</v>
      </c>
      <c r="H15" s="23">
        <f t="shared" si="5"/>
        <v>3980</v>
      </c>
      <c r="I15" s="24">
        <v>15920</v>
      </c>
      <c r="J15" s="24">
        <v>1990</v>
      </c>
      <c r="K15" s="24">
        <v>1990</v>
      </c>
      <c r="L15" s="24">
        <f aca="true" t="shared" si="13" ref="L15:N15">F15-I15</f>
        <v>15920</v>
      </c>
      <c r="M15" s="24">
        <f t="shared" si="13"/>
        <v>1990</v>
      </c>
      <c r="N15" s="24">
        <f t="shared" si="13"/>
        <v>1990</v>
      </c>
    </row>
    <row r="16" spans="1:14" s="4" customFormat="1" ht="17.25" customHeight="1">
      <c r="A16" s="20">
        <v>9</v>
      </c>
      <c r="B16" s="20" t="s">
        <v>270</v>
      </c>
      <c r="C16" s="23">
        <v>228</v>
      </c>
      <c r="D16" s="23">
        <v>200</v>
      </c>
      <c r="E16" s="23">
        <f t="shared" si="2"/>
        <v>53000</v>
      </c>
      <c r="F16" s="23">
        <v>42400</v>
      </c>
      <c r="G16" s="23">
        <v>5300</v>
      </c>
      <c r="H16" s="23">
        <v>5300</v>
      </c>
      <c r="I16" s="24">
        <v>21200</v>
      </c>
      <c r="J16" s="24">
        <v>2650</v>
      </c>
      <c r="K16" s="24">
        <v>2650</v>
      </c>
      <c r="L16" s="24">
        <f aca="true" t="shared" si="14" ref="L16:N16">F16-I16</f>
        <v>21200</v>
      </c>
      <c r="M16" s="24">
        <f t="shared" si="14"/>
        <v>2650</v>
      </c>
      <c r="N16" s="24">
        <f t="shared" si="14"/>
        <v>2650</v>
      </c>
    </row>
    <row r="17" spans="1:14" s="4" customFormat="1" ht="17.25" customHeight="1">
      <c r="A17" s="20">
        <v>10</v>
      </c>
      <c r="B17" s="20" t="s">
        <v>271</v>
      </c>
      <c r="C17" s="23">
        <v>347</v>
      </c>
      <c r="D17" s="23">
        <v>200</v>
      </c>
      <c r="E17" s="23">
        <f t="shared" si="2"/>
        <v>69400</v>
      </c>
      <c r="F17" s="23">
        <f aca="true" t="shared" si="15" ref="F17:F24">ROUND(C17*D17*0.8,2)</f>
        <v>55520</v>
      </c>
      <c r="G17" s="23">
        <f aca="true" t="shared" si="16" ref="G17:G24">ROUND(C17*D17*0.1,2)</f>
        <v>6940</v>
      </c>
      <c r="H17" s="23">
        <f aca="true" t="shared" si="17" ref="H17:H24">ROUND(C17*D17*0.1,2)</f>
        <v>6940</v>
      </c>
      <c r="I17" s="24">
        <v>27760</v>
      </c>
      <c r="J17" s="24">
        <v>3470</v>
      </c>
      <c r="K17" s="24">
        <v>3470</v>
      </c>
      <c r="L17" s="24">
        <f aca="true" t="shared" si="18" ref="L17:N17">F17-I17</f>
        <v>27760</v>
      </c>
      <c r="M17" s="24">
        <f t="shared" si="18"/>
        <v>3470</v>
      </c>
      <c r="N17" s="24">
        <f t="shared" si="18"/>
        <v>3470</v>
      </c>
    </row>
    <row r="18" spans="1:14" s="4" customFormat="1" ht="17.25" customHeight="1">
      <c r="A18" s="20">
        <v>11</v>
      </c>
      <c r="B18" s="20" t="s">
        <v>272</v>
      </c>
      <c r="C18" s="23">
        <v>849</v>
      </c>
      <c r="D18" s="23">
        <v>200</v>
      </c>
      <c r="E18" s="23">
        <f t="shared" si="2"/>
        <v>169800</v>
      </c>
      <c r="F18" s="23">
        <f t="shared" si="15"/>
        <v>135840</v>
      </c>
      <c r="G18" s="23">
        <f t="shared" si="16"/>
        <v>16980</v>
      </c>
      <c r="H18" s="23">
        <f t="shared" si="17"/>
        <v>16980</v>
      </c>
      <c r="I18" s="24">
        <v>67920</v>
      </c>
      <c r="J18" s="24">
        <v>8490</v>
      </c>
      <c r="K18" s="24">
        <v>8490</v>
      </c>
      <c r="L18" s="24">
        <f aca="true" t="shared" si="19" ref="L18:N18">F18-I18</f>
        <v>67920</v>
      </c>
      <c r="M18" s="24">
        <f t="shared" si="19"/>
        <v>8490</v>
      </c>
      <c r="N18" s="24">
        <f t="shared" si="19"/>
        <v>8490</v>
      </c>
    </row>
    <row r="19" spans="1:14" s="4" customFormat="1" ht="17.25" customHeight="1">
      <c r="A19" s="20">
        <v>12</v>
      </c>
      <c r="B19" s="20" t="s">
        <v>273</v>
      </c>
      <c r="C19" s="23">
        <v>378</v>
      </c>
      <c r="D19" s="23">
        <v>200</v>
      </c>
      <c r="E19" s="23">
        <f t="shared" si="2"/>
        <v>83600</v>
      </c>
      <c r="F19" s="23">
        <v>66880</v>
      </c>
      <c r="G19" s="23">
        <v>8360</v>
      </c>
      <c r="H19" s="23">
        <v>8360</v>
      </c>
      <c r="I19" s="24">
        <v>33440</v>
      </c>
      <c r="J19" s="24">
        <v>4180</v>
      </c>
      <c r="K19" s="24">
        <v>4180</v>
      </c>
      <c r="L19" s="24">
        <f aca="true" t="shared" si="20" ref="L19:N19">F19-I19</f>
        <v>33440</v>
      </c>
      <c r="M19" s="24">
        <f t="shared" si="20"/>
        <v>4180</v>
      </c>
      <c r="N19" s="24">
        <f t="shared" si="20"/>
        <v>4180</v>
      </c>
    </row>
    <row r="20" spans="1:14" s="4" customFormat="1" ht="17.25" customHeight="1">
      <c r="A20" s="20" t="s">
        <v>274</v>
      </c>
      <c r="B20" s="21" t="s">
        <v>275</v>
      </c>
      <c r="C20" s="22">
        <f aca="true" t="shared" si="21" ref="C20:N20">SUM(C21:C35)</f>
        <v>7767</v>
      </c>
      <c r="D20" s="22"/>
      <c r="E20" s="22">
        <f t="shared" si="21"/>
        <v>1650590</v>
      </c>
      <c r="F20" s="22">
        <f t="shared" si="21"/>
        <v>1333840</v>
      </c>
      <c r="G20" s="22">
        <f t="shared" si="21"/>
        <v>154970</v>
      </c>
      <c r="H20" s="22">
        <f t="shared" si="21"/>
        <v>161780</v>
      </c>
      <c r="I20" s="22">
        <f t="shared" si="21"/>
        <v>761040</v>
      </c>
      <c r="J20" s="22">
        <f t="shared" si="21"/>
        <v>85570</v>
      </c>
      <c r="K20" s="22">
        <f t="shared" si="21"/>
        <v>92380</v>
      </c>
      <c r="L20" s="22">
        <f t="shared" si="21"/>
        <v>572800</v>
      </c>
      <c r="M20" s="22">
        <f t="shared" si="21"/>
        <v>69400</v>
      </c>
      <c r="N20" s="22">
        <f t="shared" si="21"/>
        <v>69400</v>
      </c>
    </row>
    <row r="21" spans="1:14" s="4" customFormat="1" ht="17.25" customHeight="1">
      <c r="A21" s="20">
        <v>1</v>
      </c>
      <c r="B21" s="20" t="s">
        <v>276</v>
      </c>
      <c r="C21" s="23">
        <v>509</v>
      </c>
      <c r="D21" s="23">
        <v>200</v>
      </c>
      <c r="E21" s="23">
        <f aca="true" t="shared" si="22" ref="E21:E35">SUM(F21:H21)</f>
        <v>101800</v>
      </c>
      <c r="F21" s="23">
        <f t="shared" si="15"/>
        <v>81440</v>
      </c>
      <c r="G21" s="23">
        <f t="shared" si="16"/>
        <v>10180</v>
      </c>
      <c r="H21" s="23">
        <f t="shared" si="17"/>
        <v>10180</v>
      </c>
      <c r="I21" s="24">
        <v>40720</v>
      </c>
      <c r="J21" s="24">
        <v>5090</v>
      </c>
      <c r="K21" s="24">
        <v>5090</v>
      </c>
      <c r="L21" s="24">
        <f aca="true" t="shared" si="23" ref="L21:N21">F21-I21</f>
        <v>40720</v>
      </c>
      <c r="M21" s="24">
        <f t="shared" si="23"/>
        <v>5090</v>
      </c>
      <c r="N21" s="24">
        <f t="shared" si="23"/>
        <v>5090</v>
      </c>
    </row>
    <row r="22" spans="1:14" s="4" customFormat="1" ht="17.25" customHeight="1">
      <c r="A22" s="20">
        <v>2</v>
      </c>
      <c r="B22" s="20" t="s">
        <v>277</v>
      </c>
      <c r="C22" s="23">
        <v>868</v>
      </c>
      <c r="D22" s="23">
        <v>200</v>
      </c>
      <c r="E22" s="23">
        <f t="shared" si="22"/>
        <v>173600</v>
      </c>
      <c r="F22" s="23">
        <f t="shared" si="15"/>
        <v>138880</v>
      </c>
      <c r="G22" s="23">
        <f t="shared" si="16"/>
        <v>17360</v>
      </c>
      <c r="H22" s="23">
        <f t="shared" si="17"/>
        <v>17360</v>
      </c>
      <c r="I22" s="24">
        <v>69440</v>
      </c>
      <c r="J22" s="24">
        <v>8680</v>
      </c>
      <c r="K22" s="24">
        <v>8680</v>
      </c>
      <c r="L22" s="24">
        <f aca="true" t="shared" si="24" ref="L22:N22">F22-I22</f>
        <v>69440</v>
      </c>
      <c r="M22" s="24">
        <f t="shared" si="24"/>
        <v>8680</v>
      </c>
      <c r="N22" s="24">
        <f t="shared" si="24"/>
        <v>8680</v>
      </c>
    </row>
    <row r="23" spans="1:14" s="4" customFormat="1" ht="17.25" customHeight="1">
      <c r="A23" s="20">
        <v>3</v>
      </c>
      <c r="B23" s="20" t="s">
        <v>278</v>
      </c>
      <c r="C23" s="23">
        <v>799</v>
      </c>
      <c r="D23" s="23">
        <v>200</v>
      </c>
      <c r="E23" s="23">
        <f t="shared" si="22"/>
        <v>159800</v>
      </c>
      <c r="F23" s="23">
        <f t="shared" si="15"/>
        <v>127840</v>
      </c>
      <c r="G23" s="23">
        <f t="shared" si="16"/>
        <v>15980</v>
      </c>
      <c r="H23" s="23">
        <f t="shared" si="17"/>
        <v>15980</v>
      </c>
      <c r="I23" s="24">
        <v>63920</v>
      </c>
      <c r="J23" s="24">
        <v>7990</v>
      </c>
      <c r="K23" s="24">
        <v>7990</v>
      </c>
      <c r="L23" s="24">
        <f aca="true" t="shared" si="25" ref="L23:N23">F23-I23</f>
        <v>63920</v>
      </c>
      <c r="M23" s="24">
        <f t="shared" si="25"/>
        <v>7990</v>
      </c>
      <c r="N23" s="24">
        <f t="shared" si="25"/>
        <v>7990</v>
      </c>
    </row>
    <row r="24" spans="1:14" s="4" customFormat="1" ht="17.25" customHeight="1">
      <c r="A24" s="20">
        <v>4</v>
      </c>
      <c r="B24" s="20" t="s">
        <v>279</v>
      </c>
      <c r="C24" s="23">
        <v>911</v>
      </c>
      <c r="D24" s="23">
        <v>200</v>
      </c>
      <c r="E24" s="23">
        <f t="shared" si="22"/>
        <v>182200</v>
      </c>
      <c r="F24" s="23">
        <f t="shared" si="15"/>
        <v>145760</v>
      </c>
      <c r="G24" s="23">
        <f t="shared" si="16"/>
        <v>18220</v>
      </c>
      <c r="H24" s="23">
        <f t="shared" si="17"/>
        <v>18220</v>
      </c>
      <c r="I24" s="24">
        <v>72880</v>
      </c>
      <c r="J24" s="24">
        <v>9110</v>
      </c>
      <c r="K24" s="24">
        <v>9110</v>
      </c>
      <c r="L24" s="24">
        <f aca="true" t="shared" si="26" ref="L24:N24">F24-I24</f>
        <v>72880</v>
      </c>
      <c r="M24" s="24">
        <f t="shared" si="26"/>
        <v>9110</v>
      </c>
      <c r="N24" s="24">
        <f t="shared" si="26"/>
        <v>9110</v>
      </c>
    </row>
    <row r="25" spans="1:14" s="4" customFormat="1" ht="17.25" customHeight="1">
      <c r="A25" s="20">
        <v>5</v>
      </c>
      <c r="B25" s="20" t="s">
        <v>280</v>
      </c>
      <c r="C25" s="23">
        <v>369</v>
      </c>
      <c r="D25" s="23">
        <v>200</v>
      </c>
      <c r="E25" s="23">
        <f t="shared" si="22"/>
        <v>95200</v>
      </c>
      <c r="F25" s="23">
        <f>93280-17120</f>
        <v>76160</v>
      </c>
      <c r="G25" s="23">
        <f>11660-2140</f>
        <v>9520</v>
      </c>
      <c r="H25" s="23">
        <f>11660-2140</f>
        <v>9520</v>
      </c>
      <c r="I25" s="24">
        <v>46640</v>
      </c>
      <c r="J25" s="24">
        <v>5830</v>
      </c>
      <c r="K25" s="24">
        <v>5830</v>
      </c>
      <c r="L25" s="24">
        <f aca="true" t="shared" si="27" ref="L25:N25">F25-I25</f>
        <v>29520</v>
      </c>
      <c r="M25" s="24">
        <f t="shared" si="27"/>
        <v>3690</v>
      </c>
      <c r="N25" s="24">
        <f t="shared" si="27"/>
        <v>3690</v>
      </c>
    </row>
    <row r="26" spans="1:14" s="4" customFormat="1" ht="17.25" customHeight="1">
      <c r="A26" s="20">
        <v>6</v>
      </c>
      <c r="B26" s="20" t="s">
        <v>281</v>
      </c>
      <c r="C26" s="23">
        <v>655</v>
      </c>
      <c r="D26" s="23">
        <v>200</v>
      </c>
      <c r="E26" s="23">
        <f t="shared" si="22"/>
        <v>131000</v>
      </c>
      <c r="F26" s="23">
        <f aca="true" t="shared" si="28" ref="F26:F29">ROUND(C26*D26*0.8,2)</f>
        <v>104800</v>
      </c>
      <c r="G26" s="23">
        <f aca="true" t="shared" si="29" ref="G26:G29">ROUND(C26*D26*0.1,2)</f>
        <v>13100</v>
      </c>
      <c r="H26" s="23">
        <f aca="true" t="shared" si="30" ref="H26:H29">ROUND(C26*D26*0.1,2)</f>
        <v>13100</v>
      </c>
      <c r="I26" s="24">
        <v>52400</v>
      </c>
      <c r="J26" s="24">
        <v>6550</v>
      </c>
      <c r="K26" s="24">
        <v>6550</v>
      </c>
      <c r="L26" s="24">
        <f aca="true" t="shared" si="31" ref="L26:N26">F26-I26</f>
        <v>52400</v>
      </c>
      <c r="M26" s="24">
        <f t="shared" si="31"/>
        <v>6550</v>
      </c>
      <c r="N26" s="24">
        <f t="shared" si="31"/>
        <v>6550</v>
      </c>
    </row>
    <row r="27" spans="1:14" s="4" customFormat="1" ht="17.25" customHeight="1">
      <c r="A27" s="20">
        <v>7</v>
      </c>
      <c r="B27" s="20" t="s">
        <v>282</v>
      </c>
      <c r="C27" s="23">
        <v>767</v>
      </c>
      <c r="D27" s="23">
        <v>200</v>
      </c>
      <c r="E27" s="23">
        <f t="shared" si="22"/>
        <v>153400</v>
      </c>
      <c r="F27" s="23">
        <f t="shared" si="28"/>
        <v>122720</v>
      </c>
      <c r="G27" s="23">
        <f t="shared" si="29"/>
        <v>15340</v>
      </c>
      <c r="H27" s="23">
        <f t="shared" si="30"/>
        <v>15340</v>
      </c>
      <c r="I27" s="24">
        <v>61360</v>
      </c>
      <c r="J27" s="24">
        <v>7670</v>
      </c>
      <c r="K27" s="24">
        <v>7670</v>
      </c>
      <c r="L27" s="24">
        <f aca="true" t="shared" si="32" ref="L27:N27">F27-I27</f>
        <v>61360</v>
      </c>
      <c r="M27" s="24">
        <f t="shared" si="32"/>
        <v>7670</v>
      </c>
      <c r="N27" s="24">
        <f t="shared" si="32"/>
        <v>7670</v>
      </c>
    </row>
    <row r="28" spans="1:14" s="4" customFormat="1" ht="17.25" customHeight="1">
      <c r="A28" s="20">
        <v>8</v>
      </c>
      <c r="B28" s="20" t="s">
        <v>283</v>
      </c>
      <c r="C28" s="23">
        <v>344</v>
      </c>
      <c r="D28" s="23">
        <v>200</v>
      </c>
      <c r="E28" s="23">
        <f t="shared" si="22"/>
        <v>83500</v>
      </c>
      <c r="F28" s="23">
        <f>74880-8080</f>
        <v>66800</v>
      </c>
      <c r="G28" s="23">
        <f>9360-1010</f>
        <v>8350</v>
      </c>
      <c r="H28" s="23">
        <f>9360-1010</f>
        <v>8350</v>
      </c>
      <c r="I28" s="24">
        <v>37440</v>
      </c>
      <c r="J28" s="24">
        <v>4680</v>
      </c>
      <c r="K28" s="24">
        <v>4680</v>
      </c>
      <c r="L28" s="24">
        <f aca="true" t="shared" si="33" ref="L28:N28">F28-I28</f>
        <v>29360</v>
      </c>
      <c r="M28" s="24">
        <f t="shared" si="33"/>
        <v>3670</v>
      </c>
      <c r="N28" s="24">
        <f t="shared" si="33"/>
        <v>3670</v>
      </c>
    </row>
    <row r="29" spans="1:14" s="4" customFormat="1" ht="17.25" customHeight="1">
      <c r="A29" s="20">
        <v>9</v>
      </c>
      <c r="B29" s="20" t="s">
        <v>284</v>
      </c>
      <c r="C29" s="23">
        <v>372</v>
      </c>
      <c r="D29" s="23">
        <v>200</v>
      </c>
      <c r="E29" s="23">
        <f t="shared" si="22"/>
        <v>74400</v>
      </c>
      <c r="F29" s="23">
        <f t="shared" si="28"/>
        <v>59520</v>
      </c>
      <c r="G29" s="23">
        <f t="shared" si="29"/>
        <v>7440</v>
      </c>
      <c r="H29" s="23">
        <f t="shared" si="30"/>
        <v>7440</v>
      </c>
      <c r="I29" s="24">
        <v>59520</v>
      </c>
      <c r="J29" s="24">
        <v>7440</v>
      </c>
      <c r="K29" s="24">
        <v>7440</v>
      </c>
      <c r="L29" s="24">
        <f aca="true" t="shared" si="34" ref="L29:N29">F29-I29</f>
        <v>0</v>
      </c>
      <c r="M29" s="24">
        <f t="shared" si="34"/>
        <v>0</v>
      </c>
      <c r="N29" s="24">
        <f t="shared" si="34"/>
        <v>0</v>
      </c>
    </row>
    <row r="30" spans="1:14" s="4" customFormat="1" ht="17.25" customHeight="1">
      <c r="A30" s="20">
        <v>10</v>
      </c>
      <c r="B30" s="20" t="s">
        <v>285</v>
      </c>
      <c r="C30" s="23">
        <v>367</v>
      </c>
      <c r="D30" s="23">
        <v>200</v>
      </c>
      <c r="E30" s="23">
        <f t="shared" si="22"/>
        <v>89900</v>
      </c>
      <c r="F30" s="23">
        <f>85120-13200</f>
        <v>71920</v>
      </c>
      <c r="G30" s="23">
        <f>10640-1650</f>
        <v>8990</v>
      </c>
      <c r="H30" s="23">
        <f>10640-1650</f>
        <v>8990</v>
      </c>
      <c r="I30" s="24">
        <v>42560</v>
      </c>
      <c r="J30" s="24">
        <v>5320</v>
      </c>
      <c r="K30" s="24">
        <v>5320</v>
      </c>
      <c r="L30" s="24">
        <f aca="true" t="shared" si="35" ref="L30:N30">F30-I30</f>
        <v>29360</v>
      </c>
      <c r="M30" s="24">
        <f t="shared" si="35"/>
        <v>3670</v>
      </c>
      <c r="N30" s="24">
        <f t="shared" si="35"/>
        <v>3670</v>
      </c>
    </row>
    <row r="31" spans="1:14" s="4" customFormat="1" ht="17.25" customHeight="1">
      <c r="A31" s="20">
        <v>11</v>
      </c>
      <c r="B31" s="20" t="s">
        <v>286</v>
      </c>
      <c r="C31" s="23">
        <v>275</v>
      </c>
      <c r="D31" s="23">
        <v>200</v>
      </c>
      <c r="E31" s="23">
        <f t="shared" si="22"/>
        <v>46750</v>
      </c>
      <c r="F31" s="23">
        <f aca="true" t="shared" si="36" ref="F31:F35">ROUND(C31*D31*0.8,2)</f>
        <v>44000</v>
      </c>
      <c r="G31" s="23">
        <f>ROUND(C31*D31*0.1,2)-5500</f>
        <v>0</v>
      </c>
      <c r="H31" s="23">
        <v>2750</v>
      </c>
      <c r="I31" s="24">
        <v>44000</v>
      </c>
      <c r="J31" s="24">
        <v>0</v>
      </c>
      <c r="K31" s="24">
        <v>2750</v>
      </c>
      <c r="L31" s="24">
        <f aca="true" t="shared" si="37" ref="L31:N31">F31-I31</f>
        <v>0</v>
      </c>
      <c r="M31" s="24">
        <f t="shared" si="37"/>
        <v>0</v>
      </c>
      <c r="N31" s="24">
        <f t="shared" si="37"/>
        <v>0</v>
      </c>
    </row>
    <row r="32" spans="1:14" s="4" customFormat="1" ht="17.25" customHeight="1">
      <c r="A32" s="20">
        <v>12</v>
      </c>
      <c r="B32" s="20" t="s">
        <v>287</v>
      </c>
      <c r="C32" s="23">
        <v>203</v>
      </c>
      <c r="D32" s="23">
        <v>200</v>
      </c>
      <c r="E32" s="23">
        <f t="shared" si="22"/>
        <v>36540</v>
      </c>
      <c r="F32" s="23">
        <f t="shared" si="36"/>
        <v>32480</v>
      </c>
      <c r="G32" s="23">
        <f>ROUND(C32*D32*0.1,2)-4060</f>
        <v>0</v>
      </c>
      <c r="H32" s="23">
        <f aca="true" t="shared" si="38" ref="H32:H37">ROUND(C32*D32*0.1,2)</f>
        <v>4060</v>
      </c>
      <c r="I32" s="24">
        <v>32480</v>
      </c>
      <c r="J32" s="24">
        <v>0</v>
      </c>
      <c r="K32" s="24">
        <v>4060</v>
      </c>
      <c r="L32" s="24">
        <f aca="true" t="shared" si="39" ref="L32:N32">F32-I32</f>
        <v>0</v>
      </c>
      <c r="M32" s="24">
        <f t="shared" si="39"/>
        <v>0</v>
      </c>
      <c r="N32" s="24">
        <f t="shared" si="39"/>
        <v>0</v>
      </c>
    </row>
    <row r="33" spans="1:14" s="4" customFormat="1" ht="17.25" customHeight="1">
      <c r="A33" s="20">
        <v>13</v>
      </c>
      <c r="B33" s="20" t="s">
        <v>288</v>
      </c>
      <c r="C33" s="23">
        <v>401</v>
      </c>
      <c r="D33" s="23">
        <v>200</v>
      </c>
      <c r="E33" s="23">
        <f t="shared" si="22"/>
        <v>119800</v>
      </c>
      <c r="F33" s="23">
        <v>99360</v>
      </c>
      <c r="G33" s="23">
        <v>10220</v>
      </c>
      <c r="H33" s="23">
        <v>10220</v>
      </c>
      <c r="I33" s="24">
        <v>49680</v>
      </c>
      <c r="J33" s="24">
        <v>6210</v>
      </c>
      <c r="K33" s="24">
        <v>6210</v>
      </c>
      <c r="L33" s="24">
        <f aca="true" t="shared" si="40" ref="L33:N33">F33-I33</f>
        <v>49680</v>
      </c>
      <c r="M33" s="24">
        <f t="shared" si="40"/>
        <v>4010</v>
      </c>
      <c r="N33" s="24">
        <f t="shared" si="40"/>
        <v>4010</v>
      </c>
    </row>
    <row r="34" spans="1:14" s="4" customFormat="1" ht="17.25" customHeight="1">
      <c r="A34" s="20">
        <v>14</v>
      </c>
      <c r="B34" s="20" t="s">
        <v>289</v>
      </c>
      <c r="C34" s="23">
        <v>327</v>
      </c>
      <c r="D34" s="23">
        <v>200</v>
      </c>
      <c r="E34" s="23">
        <f t="shared" si="22"/>
        <v>82700</v>
      </c>
      <c r="F34" s="23">
        <f>80000-13840</f>
        <v>66160</v>
      </c>
      <c r="G34" s="23">
        <f>10000-1730</f>
        <v>8270</v>
      </c>
      <c r="H34" s="23">
        <f>10000-1730</f>
        <v>8270</v>
      </c>
      <c r="I34" s="24">
        <v>40000</v>
      </c>
      <c r="J34" s="24">
        <v>5000</v>
      </c>
      <c r="K34" s="24">
        <v>5000</v>
      </c>
      <c r="L34" s="24">
        <f aca="true" t="shared" si="41" ref="L34:N34">F34-I34</f>
        <v>26160</v>
      </c>
      <c r="M34" s="24">
        <f t="shared" si="41"/>
        <v>3270</v>
      </c>
      <c r="N34" s="24">
        <f t="shared" si="41"/>
        <v>3270</v>
      </c>
    </row>
    <row r="35" spans="1:14" s="4" customFormat="1" ht="17.25" customHeight="1">
      <c r="A35" s="20">
        <v>15</v>
      </c>
      <c r="B35" s="20" t="s">
        <v>290</v>
      </c>
      <c r="C35" s="23">
        <v>600</v>
      </c>
      <c r="D35" s="23">
        <v>200</v>
      </c>
      <c r="E35" s="23">
        <f t="shared" si="22"/>
        <v>120000</v>
      </c>
      <c r="F35" s="23">
        <f t="shared" si="36"/>
        <v>96000</v>
      </c>
      <c r="G35" s="23">
        <f>ROUND(C35*D35*0.1,2)</f>
        <v>12000</v>
      </c>
      <c r="H35" s="23">
        <f t="shared" si="38"/>
        <v>12000</v>
      </c>
      <c r="I35" s="24">
        <v>48000</v>
      </c>
      <c r="J35" s="24">
        <v>6000</v>
      </c>
      <c r="K35" s="24">
        <v>6000</v>
      </c>
      <c r="L35" s="24">
        <f aca="true" t="shared" si="42" ref="L35:N35">F35-I35</f>
        <v>48000</v>
      </c>
      <c r="M35" s="24">
        <f t="shared" si="42"/>
        <v>6000</v>
      </c>
      <c r="N35" s="24">
        <f t="shared" si="42"/>
        <v>6000</v>
      </c>
    </row>
    <row r="36" spans="1:14" s="4" customFormat="1" ht="17.25" customHeight="1">
      <c r="A36" s="21" t="s">
        <v>291</v>
      </c>
      <c r="B36" s="21" t="s">
        <v>292</v>
      </c>
      <c r="C36" s="22">
        <f aca="true" t="shared" si="43" ref="C36:N36">C37</f>
        <v>53</v>
      </c>
      <c r="D36" s="22"/>
      <c r="E36" s="22">
        <f t="shared" si="43"/>
        <v>10600</v>
      </c>
      <c r="F36" s="22">
        <f t="shared" si="43"/>
        <v>8480</v>
      </c>
      <c r="G36" s="22">
        <f t="shared" si="43"/>
        <v>1060</v>
      </c>
      <c r="H36" s="22">
        <f t="shared" si="43"/>
        <v>1060</v>
      </c>
      <c r="I36" s="22">
        <f t="shared" si="43"/>
        <v>4240</v>
      </c>
      <c r="J36" s="22">
        <f t="shared" si="43"/>
        <v>530</v>
      </c>
      <c r="K36" s="22">
        <f t="shared" si="43"/>
        <v>530</v>
      </c>
      <c r="L36" s="22">
        <f t="shared" si="43"/>
        <v>4240</v>
      </c>
      <c r="M36" s="22">
        <f t="shared" si="43"/>
        <v>530</v>
      </c>
      <c r="N36" s="22">
        <f t="shared" si="43"/>
        <v>530</v>
      </c>
    </row>
    <row r="37" spans="1:14" s="4" customFormat="1" ht="17.25" customHeight="1">
      <c r="A37" s="20">
        <v>1</v>
      </c>
      <c r="B37" s="20" t="s">
        <v>293</v>
      </c>
      <c r="C37" s="23">
        <v>53</v>
      </c>
      <c r="D37" s="23">
        <v>200</v>
      </c>
      <c r="E37" s="23">
        <f>SUM(F37:H37)</f>
        <v>10600</v>
      </c>
      <c r="F37" s="23">
        <f>ROUND(C37*D37*0.8,2)</f>
        <v>8480</v>
      </c>
      <c r="G37" s="23">
        <f>ROUND(C37*D37*0.1,2)</f>
        <v>1060</v>
      </c>
      <c r="H37" s="23">
        <f t="shared" si="38"/>
        <v>1060</v>
      </c>
      <c r="I37" s="24">
        <v>4240</v>
      </c>
      <c r="J37" s="24">
        <v>530</v>
      </c>
      <c r="K37" s="24">
        <v>530</v>
      </c>
      <c r="L37" s="24">
        <f aca="true" t="shared" si="44" ref="L37:N37">F37-I37</f>
        <v>4240</v>
      </c>
      <c r="M37" s="24">
        <f t="shared" si="44"/>
        <v>530</v>
      </c>
      <c r="N37" s="24">
        <f t="shared" si="44"/>
        <v>530</v>
      </c>
    </row>
  </sheetData>
  <sheetProtection/>
  <mergeCells count="10">
    <mergeCell ref="A1:N1"/>
    <mergeCell ref="D3:F3"/>
    <mergeCell ref="F4:H4"/>
    <mergeCell ref="I4:K4"/>
    <mergeCell ref="L4:N4"/>
    <mergeCell ref="A4:A5"/>
    <mergeCell ref="B4:B5"/>
    <mergeCell ref="C4:C5"/>
    <mergeCell ref="D4:D5"/>
    <mergeCell ref="E4:E5"/>
  </mergeCells>
  <printOptions/>
  <pageMargins left="0.7513888888888889" right="0.7513888888888889" top="0.8027777777777778" bottom="1" header="0.5" footer="0.5"/>
  <pageSetup horizontalDpi="600" verticalDpi="600" orientation="landscape" paperSize="9" scale="9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/>
      <c r="C1"/>
    </row>
    <row r="2" ht="14.25">
      <c r="A2"/>
    </row>
    <row r="3" spans="1:3" ht="14.25">
      <c r="A3"/>
      <c r="C3"/>
    </row>
    <row r="4" spans="1:3" ht="14.25">
      <c r="A4" s="2" t="e">
        <v>#N/A</v>
      </c>
      <c r="C4"/>
    </row>
    <row r="5" ht="14.25">
      <c r="C5"/>
    </row>
    <row r="6" ht="14.25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4.25">
      <c r="A11"/>
      <c r="C11"/>
    </row>
    <row r="12" ht="14.25">
      <c r="C12"/>
    </row>
    <row r="13" ht="14.25">
      <c r="C13"/>
    </row>
    <row r="14" spans="1:3" ht="14.25">
      <c r="A14"/>
      <c r="C14"/>
    </row>
    <row r="15" ht="14.25">
      <c r="A15"/>
    </row>
    <row r="16" ht="14.25">
      <c r="A16"/>
    </row>
    <row r="17" spans="1:3" ht="14.25">
      <c r="A17"/>
      <c r="C17"/>
    </row>
    <row r="18" ht="14.25">
      <c r="C18"/>
    </row>
    <row r="19" ht="14.25">
      <c r="C19"/>
    </row>
    <row r="20" spans="1:3" ht="14.25">
      <c r="A20"/>
      <c r="C20"/>
    </row>
    <row r="21" ht="14.25">
      <c r="A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I25"/>
    </row>
    <row r="26" spans="1:3" ht="14.25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/>
      <c r="C1"/>
    </row>
    <row r="2" ht="14.25">
      <c r="A2"/>
    </row>
    <row r="3" spans="1:3" ht="14.25">
      <c r="A3"/>
      <c r="C3"/>
    </row>
    <row r="4" spans="1:3" ht="14.25">
      <c r="A4" s="2">
        <v>3</v>
      </c>
      <c r="C4"/>
    </row>
    <row r="5" ht="14.25">
      <c r="C5"/>
    </row>
    <row r="6" ht="14.25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4.25">
      <c r="A11"/>
      <c r="C11"/>
    </row>
    <row r="12" ht="14.25">
      <c r="C12"/>
    </row>
    <row r="13" ht="14.25">
      <c r="C13"/>
    </row>
    <row r="14" spans="1:3" ht="14.25">
      <c r="A14"/>
      <c r="C14"/>
    </row>
    <row r="15" ht="14.25">
      <c r="A15"/>
    </row>
    <row r="16" ht="14.25">
      <c r="A16"/>
    </row>
    <row r="17" spans="1:3" ht="14.25">
      <c r="A17"/>
      <c r="C17"/>
    </row>
    <row r="18" ht="14.25">
      <c r="C18"/>
    </row>
    <row r="19" ht="14.25">
      <c r="C19"/>
    </row>
    <row r="20" spans="1:3" ht="14.25">
      <c r="A20"/>
      <c r="C20"/>
    </row>
    <row r="21" ht="14.25">
      <c r="A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I25"/>
    </row>
    <row r="26" spans="1:3" ht="14.25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/>
      <c r="C1"/>
    </row>
    <row r="2" ht="14.25">
      <c r="A2"/>
    </row>
    <row r="3" spans="1:3" ht="14.25">
      <c r="A3"/>
      <c r="C3"/>
    </row>
    <row r="4" spans="1:3" ht="14.25">
      <c r="A4" s="2">
        <v>3</v>
      </c>
      <c r="C4"/>
    </row>
    <row r="5" ht="14.25">
      <c r="C5"/>
    </row>
    <row r="6" ht="14.25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4.25">
      <c r="A11"/>
      <c r="C11"/>
    </row>
    <row r="12" ht="14.25">
      <c r="C12"/>
    </row>
    <row r="13" ht="14.25">
      <c r="C13"/>
    </row>
    <row r="14" spans="1:3" ht="14.25">
      <c r="A14"/>
      <c r="C14"/>
    </row>
    <row r="15" ht="14.25">
      <c r="A15"/>
    </row>
    <row r="16" ht="14.25">
      <c r="A16"/>
    </row>
    <row r="17" spans="1:3" ht="14.25">
      <c r="A17"/>
      <c r="C17"/>
    </row>
    <row r="18" ht="14.25">
      <c r="C18"/>
    </row>
    <row r="19" ht="14.25">
      <c r="C19"/>
    </row>
    <row r="20" spans="1:3" ht="14.25">
      <c r="A20"/>
      <c r="C20"/>
    </row>
    <row r="21" ht="14.25">
      <c r="A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I25"/>
    </row>
    <row r="26" spans="1:3" ht="14.25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/>
      <c r="C1"/>
    </row>
    <row r="2" ht="14.25">
      <c r="A2"/>
    </row>
    <row r="3" spans="1:3" ht="14.25">
      <c r="A3"/>
      <c r="C3"/>
    </row>
    <row r="4" spans="1:3" ht="14.25">
      <c r="A4" s="2">
        <v>3</v>
      </c>
      <c r="C4"/>
    </row>
    <row r="5" ht="14.25">
      <c r="C5"/>
    </row>
    <row r="6" ht="14.25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4.25">
      <c r="A11"/>
      <c r="C11"/>
    </row>
    <row r="12" ht="14.25">
      <c r="C12"/>
    </row>
    <row r="13" ht="14.25">
      <c r="C13"/>
    </row>
    <row r="14" spans="1:3" ht="14.25">
      <c r="A14"/>
      <c r="C14"/>
    </row>
    <row r="15" ht="14.25">
      <c r="A15"/>
    </row>
    <row r="16" ht="14.25">
      <c r="A16"/>
    </row>
    <row r="17" spans="1:3" ht="14.25">
      <c r="A17"/>
      <c r="C17"/>
    </row>
    <row r="18" ht="14.25">
      <c r="C18"/>
    </row>
    <row r="19" ht="14.25">
      <c r="C19"/>
    </row>
    <row r="20" spans="1:3" ht="14.25">
      <c r="A20"/>
      <c r="C20"/>
    </row>
    <row r="21" ht="14.25">
      <c r="A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I25"/>
    </row>
    <row r="26" spans="1:3" ht="14.25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helloworld</dc:creator>
  <cp:keywords/>
  <dc:description/>
  <cp:lastModifiedBy>呢喃微.money</cp:lastModifiedBy>
  <cp:lastPrinted>2018-02-11T00:33:20Z</cp:lastPrinted>
  <dcterms:created xsi:type="dcterms:W3CDTF">2012-09-25T03:27:38Z</dcterms:created>
  <dcterms:modified xsi:type="dcterms:W3CDTF">2021-11-12T02:54:38Z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ubyTemplate">
    <vt:lpwstr>14</vt:lpwstr>
  </property>
  <property fmtid="{D5CDD505-2E9C-101B-9397-08002B2CF9AE}" pid="5" name="I">
    <vt:lpwstr>EDA4101296684E77B319B4A9FB4D26D3</vt:lpwstr>
  </property>
</Properties>
</file>